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tabRatio="895" activeTab="10"/>
  </bookViews>
  <sheets>
    <sheet name="15228" sheetId="1" r:id="rId1"/>
    <sheet name="15229" sheetId="2" r:id="rId2"/>
    <sheet name="15230" sheetId="3" r:id="rId3"/>
    <sheet name="152 IZ05" sheetId="4" r:id="rId4"/>
    <sheet name="152 IZ 2025" sheetId="5" r:id="rId5"/>
    <sheet name="15228-IZ05" sheetId="6" r:id="rId6"/>
    <sheet name="15229-IZ05" sheetId="7" r:id="rId7"/>
    <sheet name="15230-IZ05 " sheetId="8" r:id="rId8"/>
    <sheet name="15228-IZ025" sheetId="9" r:id="rId9"/>
    <sheet name="15229-IZ025" sheetId="10" r:id="rId10"/>
    <sheet name="15230-IZ025" sheetId="11" r:id="rId11"/>
  </sheets>
  <definedNames/>
  <calcPr fullCalcOnLoad="1"/>
</workbook>
</file>

<file path=xl/sharedStrings.xml><?xml version="1.0" encoding="utf-8"?>
<sst xmlns="http://schemas.openxmlformats.org/spreadsheetml/2006/main" count="645" uniqueCount="66">
  <si>
    <t xml:space="preserve">Výpočet byl zpracován dle novelizované metodiky pro výpočet hluku ze silniční dopravy, </t>
  </si>
  <si>
    <t>zpracované RNDr. Milošem Liberkem a kolektivem- Praha, 2004</t>
  </si>
  <si>
    <t>s ohledem na informativní charakter výpočtu a zobecněná vstupní data nejsou dále uvažovány</t>
  </si>
  <si>
    <t>podrobnější korekce ve smyslu metodiky</t>
  </si>
  <si>
    <t>rok</t>
  </si>
  <si>
    <t>T</t>
  </si>
  <si>
    <t>O</t>
  </si>
  <si>
    <t>M</t>
  </si>
  <si>
    <t>S</t>
  </si>
  <si>
    <t>v (km/h)</t>
  </si>
  <si>
    <t>den</t>
  </si>
  <si>
    <t>sklon</t>
  </si>
  <si>
    <t>nivelety</t>
  </si>
  <si>
    <t>noc</t>
  </si>
  <si>
    <t xml:space="preserve">AB </t>
  </si>
  <si>
    <t>obrusná</t>
  </si>
  <si>
    <t>vrstva</t>
  </si>
  <si>
    <t>X</t>
  </si>
  <si>
    <t>Y</t>
  </si>
  <si>
    <t>korekce vzdálenosti 15 m</t>
  </si>
  <si>
    <t xml:space="preserve">U </t>
  </si>
  <si>
    <t>odrazivý t.</t>
  </si>
  <si>
    <t>H(m)</t>
  </si>
  <si>
    <t>d(m)</t>
  </si>
  <si>
    <t>výpočet izofony</t>
  </si>
  <si>
    <t>pohltivý t.</t>
  </si>
  <si>
    <r>
      <t>P</t>
    </r>
    <r>
      <rPr>
        <vertAlign val="subscript"/>
        <sz val="10"/>
        <rFont val="Arial CE"/>
        <family val="2"/>
      </rPr>
      <t>NA</t>
    </r>
  </si>
  <si>
    <r>
      <t xml:space="preserve">PO </t>
    </r>
    <r>
      <rPr>
        <vertAlign val="subscript"/>
        <sz val="10"/>
        <rFont val="Arial CE"/>
        <family val="2"/>
      </rPr>
      <t>noc</t>
    </r>
  </si>
  <si>
    <r>
      <t xml:space="preserve">IO </t>
    </r>
    <r>
      <rPr>
        <vertAlign val="subscript"/>
        <sz val="10"/>
        <rFont val="Arial CE"/>
        <family val="2"/>
      </rPr>
      <t>noc</t>
    </r>
  </si>
  <si>
    <r>
      <t>IO</t>
    </r>
    <r>
      <rPr>
        <vertAlign val="subscript"/>
        <sz val="10"/>
        <rFont val="Arial CE"/>
        <family val="2"/>
      </rPr>
      <t>den</t>
    </r>
  </si>
  <si>
    <r>
      <t xml:space="preserve">PN </t>
    </r>
    <r>
      <rPr>
        <vertAlign val="subscript"/>
        <sz val="10"/>
        <rFont val="Arial CE"/>
        <family val="2"/>
      </rPr>
      <t>noc</t>
    </r>
  </si>
  <si>
    <r>
      <t xml:space="preserve">IN </t>
    </r>
    <r>
      <rPr>
        <vertAlign val="subscript"/>
        <sz val="10"/>
        <rFont val="Arial CE"/>
        <family val="2"/>
      </rPr>
      <t>noc</t>
    </r>
  </si>
  <si>
    <r>
      <t>IN</t>
    </r>
    <r>
      <rPr>
        <vertAlign val="subscript"/>
        <sz val="10"/>
        <rFont val="Arial CE"/>
        <family val="2"/>
      </rPr>
      <t>den</t>
    </r>
  </si>
  <si>
    <r>
      <t>n</t>
    </r>
    <r>
      <rPr>
        <vertAlign val="subscript"/>
        <sz val="10"/>
        <rFont val="Arial CE"/>
        <family val="2"/>
      </rPr>
      <t>OAd</t>
    </r>
  </si>
  <si>
    <r>
      <t>n</t>
    </r>
    <r>
      <rPr>
        <vertAlign val="subscript"/>
        <sz val="10"/>
        <rFont val="Arial CE"/>
        <family val="2"/>
      </rPr>
      <t>NAd</t>
    </r>
  </si>
  <si>
    <r>
      <t>n</t>
    </r>
    <r>
      <rPr>
        <vertAlign val="subscript"/>
        <sz val="10"/>
        <rFont val="Arial CE"/>
        <family val="2"/>
      </rPr>
      <t>OAn</t>
    </r>
  </si>
  <si>
    <r>
      <t>n</t>
    </r>
    <r>
      <rPr>
        <vertAlign val="subscript"/>
        <sz val="10"/>
        <rFont val="Arial CE"/>
        <family val="2"/>
      </rPr>
      <t>NAn</t>
    </r>
  </si>
  <si>
    <r>
      <t>L</t>
    </r>
    <r>
      <rPr>
        <vertAlign val="subscript"/>
        <sz val="10"/>
        <rFont val="Arial CE"/>
        <family val="2"/>
      </rPr>
      <t>OA</t>
    </r>
  </si>
  <si>
    <r>
      <t>F</t>
    </r>
    <r>
      <rPr>
        <vertAlign val="subscript"/>
        <sz val="10"/>
        <rFont val="Arial CE"/>
        <family val="2"/>
      </rPr>
      <t>vOA</t>
    </r>
  </si>
  <si>
    <r>
      <t>L</t>
    </r>
    <r>
      <rPr>
        <vertAlign val="subscript"/>
        <sz val="10"/>
        <rFont val="Arial CE"/>
        <family val="2"/>
      </rPr>
      <t>NA</t>
    </r>
  </si>
  <si>
    <r>
      <t>F</t>
    </r>
    <r>
      <rPr>
        <vertAlign val="subscript"/>
        <sz val="10"/>
        <rFont val="Arial CE"/>
        <family val="2"/>
      </rPr>
      <t>vNA</t>
    </r>
  </si>
  <si>
    <r>
      <t>F</t>
    </r>
    <r>
      <rPr>
        <vertAlign val="subscript"/>
        <sz val="10"/>
        <rFont val="Arial CE"/>
        <family val="2"/>
      </rPr>
      <t>1</t>
    </r>
  </si>
  <si>
    <r>
      <t>F</t>
    </r>
    <r>
      <rPr>
        <vertAlign val="subscript"/>
        <sz val="10"/>
        <rFont val="Arial CE"/>
        <family val="2"/>
      </rPr>
      <t>2</t>
    </r>
  </si>
  <si>
    <r>
      <t>F</t>
    </r>
    <r>
      <rPr>
        <vertAlign val="subscript"/>
        <sz val="10"/>
        <rFont val="Arial CE"/>
        <family val="2"/>
      </rPr>
      <t>3</t>
    </r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</si>
  <si>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3</t>
    </r>
  </si>
  <si>
    <r>
      <t>I</t>
    </r>
    <r>
      <rPr>
        <b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</si>
  <si>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55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</si>
  <si>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45 </t>
    </r>
    <r>
      <rPr>
        <b/>
        <sz val="10"/>
        <rFont val="Arial CE"/>
        <family val="2"/>
      </rPr>
      <t>dB(A)</t>
    </r>
  </si>
  <si>
    <t>sčít.místo</t>
  </si>
  <si>
    <t xml:space="preserve">ABS </t>
  </si>
  <si>
    <t>zpracované Ing. Janem Kozákem , CSc. A RNDr. Milošem Liberkem - Praha, listopad 1995</t>
  </si>
  <si>
    <t>odhad</t>
  </si>
  <si>
    <t>2-3%</t>
  </si>
  <si>
    <t>zpracované IRNDr. Milošem Liberkem a kolektivem- Praha, 2004</t>
  </si>
  <si>
    <t>Výpočet hlukové hladiny silnice II/152  v katastru obce Blatnice - izofona 2005</t>
  </si>
  <si>
    <t>Výpočet hlukové hladiny silnice II/152  v katastru obce Blatnice - izofona 2025</t>
  </si>
  <si>
    <t>Výpočet hlukové hladiny silnice III/15228 průtahu obce Blatnice</t>
  </si>
  <si>
    <t>1-2%</t>
  </si>
  <si>
    <t>Výpočet hlukové hladiny silnice III/15229 průtahu obce Blatnice</t>
  </si>
  <si>
    <t>3-4%</t>
  </si>
  <si>
    <t>Výpočet izofony -hlukové hladiny silnice III/15228  v katastru obce Blatnice 2005</t>
  </si>
  <si>
    <t>Výpočet izofony -hlukové hladiny silnice III/15228  v katastru obce Blatnice 2025</t>
  </si>
  <si>
    <t>Výpočet izofony -hlukové hladiny silnice III/15229  v katastru obce Blatnice 2005</t>
  </si>
  <si>
    <t>Výpočet izofony -hlukové hladiny silnice III/15230  v katastru obce Blatnice 2005</t>
  </si>
  <si>
    <t>Výpočet izofony -hlukové hladiny silnice III/15229  v katastru obce Blatnice 2025</t>
  </si>
  <si>
    <t>Výpočet izofony -hlukové hladiny silnice III/15230  v katastru obce Blatnice 2025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</si>
</sst>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56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5" ht="12.75">
      <c r="B8" s="11" t="s">
        <v>4</v>
      </c>
      <c r="C8" s="11">
        <v>2005</v>
      </c>
      <c r="D8" s="11" t="s">
        <v>48</v>
      </c>
      <c r="E8" s="13" t="s">
        <v>51</v>
      </c>
    </row>
    <row r="9" spans="2:6" ht="15.75">
      <c r="B9" s="11" t="s">
        <v>5</v>
      </c>
      <c r="C9" s="11">
        <v>50</v>
      </c>
      <c r="E9" s="11" t="s">
        <v>26</v>
      </c>
      <c r="F9" s="11">
        <f>(C9/C12*100)</f>
        <v>16.39344262295082</v>
      </c>
    </row>
    <row r="10" spans="2:11" ht="15.75">
      <c r="B10" s="11" t="s">
        <v>6</v>
      </c>
      <c r="C10" s="11">
        <v>250</v>
      </c>
      <c r="E10" s="11" t="s">
        <v>27</v>
      </c>
      <c r="F10" s="11">
        <f>(6.4+(-2.1+0.2*F9))/100</f>
        <v>0.07578688524590164</v>
      </c>
      <c r="H10" s="11" t="s">
        <v>28</v>
      </c>
      <c r="I10" s="13">
        <f>(C10+C11)*F10</f>
        <v>19.32565573770492</v>
      </c>
      <c r="J10" s="11" t="s">
        <v>29</v>
      </c>
      <c r="K10" s="13">
        <f>(C10+C11)-I10</f>
        <v>235.67434426229508</v>
      </c>
    </row>
    <row r="11" spans="2:11" ht="15.75">
      <c r="B11" s="11" t="s">
        <v>7</v>
      </c>
      <c r="C11" s="11">
        <v>5</v>
      </c>
      <c r="E11" s="11" t="s">
        <v>30</v>
      </c>
      <c r="F11" s="11">
        <f>(7.9)/100</f>
        <v>0.079</v>
      </c>
      <c r="H11" s="11" t="s">
        <v>31</v>
      </c>
      <c r="I11" s="13">
        <f>(C9)*F11</f>
        <v>3.95</v>
      </c>
      <c r="J11" s="11" t="s">
        <v>32</v>
      </c>
      <c r="K11" s="13">
        <f>C9-I11</f>
        <v>46.05</v>
      </c>
    </row>
    <row r="12" spans="2:3" ht="12.75">
      <c r="B12" s="11" t="s">
        <v>8</v>
      </c>
      <c r="C12" s="11">
        <v>305</v>
      </c>
    </row>
    <row r="13" spans="2:11" ht="15.75">
      <c r="B13" s="11" t="s">
        <v>9</v>
      </c>
      <c r="C13" s="11">
        <v>50</v>
      </c>
      <c r="D13" s="11">
        <v>45</v>
      </c>
      <c r="H13" s="11" t="s">
        <v>33</v>
      </c>
      <c r="I13" s="13">
        <f>K10/18</f>
        <v>13.09301912568306</v>
      </c>
      <c r="J13" s="11" t="s">
        <v>34</v>
      </c>
      <c r="K13" s="13">
        <f>K11/18</f>
        <v>2.558333333333333</v>
      </c>
    </row>
    <row r="14" spans="8:11" ht="15.75">
      <c r="H14" s="11" t="s">
        <v>35</v>
      </c>
      <c r="I14" s="13">
        <f>I10/6</f>
        <v>3.2209426229508202</v>
      </c>
      <c r="J14" s="11" t="s">
        <v>36</v>
      </c>
      <c r="K14" s="13">
        <f>I11/6</f>
        <v>0.6583333333333333</v>
      </c>
    </row>
    <row r="16" spans="2:5" ht="15.75">
      <c r="B16" s="11" t="s">
        <v>37</v>
      </c>
      <c r="C16" s="11">
        <v>75.6</v>
      </c>
      <c r="D16" s="11" t="s">
        <v>38</v>
      </c>
      <c r="E16" s="12">
        <v>0.0007545</v>
      </c>
    </row>
    <row r="17" spans="2:5" ht="15.75">
      <c r="B17" s="11" t="s">
        <v>39</v>
      </c>
      <c r="C17" s="11">
        <v>82.4</v>
      </c>
      <c r="D17" s="11" t="s">
        <v>40</v>
      </c>
      <c r="E17" s="12">
        <v>0.002236</v>
      </c>
    </row>
    <row r="20" spans="2:10" ht="15.75">
      <c r="B20" s="11" t="s">
        <v>41</v>
      </c>
      <c r="C20" s="11">
        <f>I13*E16*36307805+K13*E17*173780080</f>
        <v>1352770.6557925062</v>
      </c>
      <c r="D20" s="11" t="s">
        <v>10</v>
      </c>
      <c r="F20" s="11" t="s">
        <v>42</v>
      </c>
      <c r="G20" s="12">
        <v>1.13</v>
      </c>
      <c r="H20" s="11" t="s">
        <v>52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I14*E16*30602954+K14*E17*138038430</f>
        <v>277568.5060512731</v>
      </c>
      <c r="D21" s="11" t="s">
        <v>13</v>
      </c>
      <c r="F21" s="11" t="s">
        <v>43</v>
      </c>
      <c r="G21" s="12">
        <v>1</v>
      </c>
      <c r="H21" s="11" t="s">
        <v>49</v>
      </c>
      <c r="I21" s="12" t="s">
        <v>15</v>
      </c>
      <c r="J21" s="11" t="s">
        <v>16</v>
      </c>
    </row>
    <row r="22" ht="12.75"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1528630.841045532</v>
      </c>
      <c r="D24" s="11" t="s">
        <v>10</v>
      </c>
      <c r="F24" s="11" t="s">
        <v>18</v>
      </c>
      <c r="G24" s="14">
        <f>10*LOG10(C24)-10.1</f>
        <v>51.74302617489418</v>
      </c>
    </row>
    <row r="25" spans="2:7" ht="12.75">
      <c r="B25" s="11" t="s">
        <v>17</v>
      </c>
      <c r="C25" s="11">
        <f>C21*G21*G20</f>
        <v>313652.41183793853</v>
      </c>
      <c r="D25" s="11" t="s">
        <v>13</v>
      </c>
      <c r="F25" s="11" t="s">
        <v>18</v>
      </c>
      <c r="G25" s="14">
        <f>10*LOG10(C25)-10.1</f>
        <v>44.86448631404298</v>
      </c>
    </row>
    <row r="26" ht="12.75">
      <c r="G26" s="14"/>
    </row>
    <row r="27" ht="12.75">
      <c r="B27" s="12" t="s">
        <v>19</v>
      </c>
    </row>
    <row r="28" spans="2:7" ht="12.75">
      <c r="B28" s="11" t="s">
        <v>20</v>
      </c>
      <c r="C28" s="11" t="s">
        <v>21</v>
      </c>
      <c r="D28" s="11" t="s">
        <v>22</v>
      </c>
      <c r="E28" s="12">
        <v>1.5</v>
      </c>
      <c r="F28" s="11" t="s">
        <v>23</v>
      </c>
      <c r="G28" s="12">
        <v>15</v>
      </c>
    </row>
    <row r="29" spans="2:3" ht="12.75">
      <c r="B29" s="11" t="s">
        <v>20</v>
      </c>
      <c r="C29" s="11">
        <v>2.4</v>
      </c>
    </row>
    <row r="31" spans="2:4" ht="14.25">
      <c r="B31" s="2" t="s">
        <v>45</v>
      </c>
      <c r="C31" s="15">
        <f>G24-2.4</f>
        <v>49.343026174894185</v>
      </c>
      <c r="D31" s="2" t="s">
        <v>10</v>
      </c>
    </row>
    <row r="32" spans="2:4" ht="14.25">
      <c r="B32" s="2" t="s">
        <v>45</v>
      </c>
      <c r="C32" s="15">
        <f>G25-2.4</f>
        <v>42.46448631404298</v>
      </c>
      <c r="D32" s="2" t="s">
        <v>13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1" customWidth="1"/>
    <col min="3" max="3" width="8.75390625" style="12" customWidth="1"/>
    <col min="4" max="4" width="8.75390625" style="11" customWidth="1"/>
    <col min="5" max="5" width="8.75390625" style="12" customWidth="1"/>
    <col min="6" max="6" width="6.7539062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64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50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10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10"/>
    </row>
    <row r="8" spans="1:6" ht="12.75">
      <c r="A8" s="11"/>
      <c r="B8" s="11" t="s">
        <v>4</v>
      </c>
      <c r="C8" s="11">
        <v>2025</v>
      </c>
      <c r="F8" s="17"/>
    </row>
    <row r="9" spans="1:6" ht="15.75">
      <c r="A9" s="11"/>
      <c r="B9" s="11" t="s">
        <v>5</v>
      </c>
      <c r="C9" s="11">
        <v>85</v>
      </c>
      <c r="E9" s="11" t="s">
        <v>26</v>
      </c>
      <c r="F9" s="11">
        <f>(C9/C12*100)</f>
        <v>18.478260869565215</v>
      </c>
    </row>
    <row r="10" spans="1:11" ht="15.75">
      <c r="A10" s="11"/>
      <c r="B10" s="11" t="s">
        <v>6</v>
      </c>
      <c r="C10" s="11">
        <v>350</v>
      </c>
      <c r="E10" s="11" t="s">
        <v>27</v>
      </c>
      <c r="F10" s="11">
        <f>(6.4+(-2.1+0.2*F9))/100</f>
        <v>0.07995652173913044</v>
      </c>
      <c r="H10" s="11" t="s">
        <v>28</v>
      </c>
      <c r="I10" s="13">
        <f>(C10+C11)*F10</f>
        <v>29.18413043478261</v>
      </c>
      <c r="J10" s="11" t="s">
        <v>29</v>
      </c>
      <c r="K10" s="13">
        <f>(C10+C11)-I10</f>
        <v>335.8158695652174</v>
      </c>
    </row>
    <row r="11" spans="1:11" ht="15.75">
      <c r="A11" s="11"/>
      <c r="B11" s="11" t="s">
        <v>7</v>
      </c>
      <c r="C11" s="11">
        <v>15</v>
      </c>
      <c r="E11" s="11" t="s">
        <v>30</v>
      </c>
      <c r="F11" s="11">
        <f>(7.9)/100</f>
        <v>0.079</v>
      </c>
      <c r="H11" s="11" t="s">
        <v>31</v>
      </c>
      <c r="I11" s="13">
        <f>(C9)*F11</f>
        <v>6.715</v>
      </c>
      <c r="J11" s="11" t="s">
        <v>32</v>
      </c>
      <c r="K11" s="13">
        <f>C9-I11</f>
        <v>78.285</v>
      </c>
    </row>
    <row r="12" spans="1:3" ht="12.75">
      <c r="A12" s="11"/>
      <c r="B12" s="11" t="s">
        <v>8</v>
      </c>
      <c r="C12" s="11">
        <v>460</v>
      </c>
    </row>
    <row r="13" spans="2:11" ht="15.75">
      <c r="B13" s="11" t="s">
        <v>9</v>
      </c>
      <c r="C13" s="11">
        <v>90</v>
      </c>
      <c r="D13" s="11">
        <v>75</v>
      </c>
      <c r="H13" s="11" t="s">
        <v>33</v>
      </c>
      <c r="I13" s="13">
        <f>K10/18</f>
        <v>18.656437198067632</v>
      </c>
      <c r="J13" s="11" t="s">
        <v>34</v>
      </c>
      <c r="K13" s="13">
        <f>K11/18</f>
        <v>4.349166666666666</v>
      </c>
    </row>
    <row r="14" spans="3:11" ht="15.75">
      <c r="C14" s="11"/>
      <c r="H14" s="11" t="s">
        <v>35</v>
      </c>
      <c r="I14" s="13">
        <f>I10/6</f>
        <v>4.864021739130435</v>
      </c>
      <c r="J14" s="11" t="s">
        <v>36</v>
      </c>
      <c r="K14" s="13">
        <f>I11/6</f>
        <v>1.1191666666666666</v>
      </c>
    </row>
    <row r="15" ht="12.75">
      <c r="C15" s="11"/>
    </row>
    <row r="16" spans="2:5" ht="15.75">
      <c r="B16" s="11" t="s">
        <v>37</v>
      </c>
      <c r="C16" s="11">
        <v>74.1</v>
      </c>
      <c r="D16" s="11" t="s">
        <v>38</v>
      </c>
      <c r="E16" s="12">
        <v>0.001519</v>
      </c>
    </row>
    <row r="17" spans="2:5" ht="15.75">
      <c r="B17" s="11" t="s">
        <v>39</v>
      </c>
      <c r="C17" s="11">
        <v>80.2</v>
      </c>
      <c r="D17" s="11" t="s">
        <v>40</v>
      </c>
      <c r="E17" s="12">
        <v>0.002122</v>
      </c>
    </row>
    <row r="18" ht="12.75">
      <c r="C18" s="11"/>
    </row>
    <row r="19" ht="12.75">
      <c r="C19" s="11"/>
    </row>
    <row r="20" spans="2:10" ht="15.75">
      <c r="B20" s="11" t="s">
        <v>41</v>
      </c>
      <c r="C20" s="11">
        <f>I13*E16*25703958+K13*E17*104712850</f>
        <v>1694815.4958102754</v>
      </c>
      <c r="D20" s="11" t="s">
        <v>10</v>
      </c>
      <c r="F20" s="11" t="s">
        <v>42</v>
      </c>
      <c r="G20" s="12">
        <v>1.21</v>
      </c>
      <c r="H20" s="11" t="s">
        <v>59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I14*E16*25703958+K14*E17*104712850</f>
        <v>438591.9639408404</v>
      </c>
      <c r="D21" s="11" t="s">
        <v>13</v>
      </c>
      <c r="F21" s="11" t="s">
        <v>43</v>
      </c>
      <c r="G21" s="12">
        <v>1.1</v>
      </c>
      <c r="H21" s="11" t="s">
        <v>14</v>
      </c>
      <c r="I21" s="12" t="s">
        <v>15</v>
      </c>
      <c r="J21" s="11" t="s">
        <v>16</v>
      </c>
    </row>
    <row r="22" spans="3:12" ht="12.75">
      <c r="C22" s="11"/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2255799.4249234768</v>
      </c>
      <c r="D24" s="11" t="s">
        <v>10</v>
      </c>
      <c r="F24" s="11" t="s">
        <v>18</v>
      </c>
      <c r="G24" s="14">
        <f>10*LOG10(C24)-10.1</f>
        <v>53.43300481604978</v>
      </c>
    </row>
    <row r="25" spans="2:7" ht="12.75">
      <c r="B25" s="11" t="s">
        <v>17</v>
      </c>
      <c r="C25" s="11">
        <f>C21*G21*G20</f>
        <v>583765.9040052586</v>
      </c>
      <c r="D25" s="11" t="s">
        <v>13</v>
      </c>
      <c r="F25" s="11" t="s">
        <v>18</v>
      </c>
      <c r="G25" s="14">
        <f>10*LOG10(C25)-10.1</f>
        <v>47.56238725570119</v>
      </c>
    </row>
    <row r="26" spans="3:7" ht="12.75">
      <c r="C26" s="11"/>
      <c r="G26" s="14"/>
    </row>
    <row r="27" ht="12.75">
      <c r="B27" s="12" t="s">
        <v>24</v>
      </c>
    </row>
    <row r="28" spans="2:5" ht="12.75">
      <c r="B28" s="11" t="s">
        <v>20</v>
      </c>
      <c r="C28" s="12" t="s">
        <v>25</v>
      </c>
      <c r="D28" s="11" t="s">
        <v>22</v>
      </c>
      <c r="E28" s="12">
        <v>1.5</v>
      </c>
    </row>
    <row r="29" spans="2:3" ht="12.75">
      <c r="B29" s="11" t="s">
        <v>20</v>
      </c>
      <c r="C29" s="12">
        <f>8.78*LOG10((F31*F31+20.25)/76.5)</f>
        <v>-1.1724716154905095</v>
      </c>
    </row>
    <row r="30" spans="2:3" ht="12.75">
      <c r="B30" s="11" t="s">
        <v>20</v>
      </c>
      <c r="C30" s="12">
        <f>8.78*LOG10((F32*F32+20.25)/76.5)</f>
        <v>2.9135898202266026</v>
      </c>
    </row>
    <row r="31" spans="2:6" ht="14.25">
      <c r="B31" s="2" t="s">
        <v>46</v>
      </c>
      <c r="C31" s="16">
        <f>G24-C29</f>
        <v>54.60547643154029</v>
      </c>
      <c r="D31" s="2" t="s">
        <v>10</v>
      </c>
      <c r="E31" s="11" t="s">
        <v>23</v>
      </c>
      <c r="F31" s="11">
        <v>6</v>
      </c>
    </row>
    <row r="32" spans="2:6" ht="14.25">
      <c r="B32" s="2" t="s">
        <v>47</v>
      </c>
      <c r="C32" s="16">
        <f>G25-C30</f>
        <v>44.648797435474584</v>
      </c>
      <c r="D32" s="2" t="s">
        <v>13</v>
      </c>
      <c r="E32" s="11" t="s">
        <v>23</v>
      </c>
      <c r="F32" s="2">
        <v>12</v>
      </c>
    </row>
    <row r="33" spans="2:4" ht="12.75">
      <c r="B33" s="2"/>
      <c r="C33" s="16"/>
      <c r="D33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&amp;C40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1" customWidth="1"/>
    <col min="3" max="3" width="8.75390625" style="12" customWidth="1"/>
    <col min="4" max="4" width="8.75390625" style="11" customWidth="1"/>
    <col min="5" max="5" width="8.75390625" style="12" customWidth="1"/>
    <col min="6" max="6" width="6.7539062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65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50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10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10"/>
    </row>
    <row r="8" spans="1:6" ht="12.75">
      <c r="A8" s="11"/>
      <c r="B8" s="11" t="s">
        <v>4</v>
      </c>
      <c r="C8" s="11">
        <v>2025</v>
      </c>
      <c r="F8" s="17"/>
    </row>
    <row r="9" spans="1:6" ht="15.75">
      <c r="A9" s="11"/>
      <c r="B9" s="11" t="s">
        <v>5</v>
      </c>
      <c r="C9" s="11">
        <v>60</v>
      </c>
      <c r="E9" s="11" t="s">
        <v>26</v>
      </c>
      <c r="F9" s="11">
        <f>(C9/C12*100)</f>
        <v>18.75</v>
      </c>
    </row>
    <row r="10" spans="1:11" ht="15.75">
      <c r="A10" s="11"/>
      <c r="B10" s="11" t="s">
        <v>6</v>
      </c>
      <c r="C10" s="11">
        <v>250</v>
      </c>
      <c r="E10" s="11" t="s">
        <v>27</v>
      </c>
      <c r="F10" s="11">
        <f>(6.4+(-2.1+0.2*F9))/100</f>
        <v>0.0805</v>
      </c>
      <c r="H10" s="11" t="s">
        <v>28</v>
      </c>
      <c r="I10" s="13">
        <f>(C10+C11)*F10</f>
        <v>20.93</v>
      </c>
      <c r="J10" s="11" t="s">
        <v>29</v>
      </c>
      <c r="K10" s="13">
        <f>(C10+C11)-I10</f>
        <v>239.07</v>
      </c>
    </row>
    <row r="11" spans="1:11" ht="15.75">
      <c r="A11" s="11"/>
      <c r="B11" s="11" t="s">
        <v>7</v>
      </c>
      <c r="C11" s="11">
        <v>10</v>
      </c>
      <c r="E11" s="11" t="s">
        <v>30</v>
      </c>
      <c r="F11" s="11">
        <f>(7.9)/100</f>
        <v>0.079</v>
      </c>
      <c r="H11" s="11" t="s">
        <v>31</v>
      </c>
      <c r="I11" s="13">
        <f>(C9)*F11</f>
        <v>4.74</v>
      </c>
      <c r="J11" s="11" t="s">
        <v>32</v>
      </c>
      <c r="K11" s="13">
        <f>C9-I11</f>
        <v>55.26</v>
      </c>
    </row>
    <row r="12" spans="1:3" ht="12.75">
      <c r="A12" s="11"/>
      <c r="B12" s="11" t="s">
        <v>8</v>
      </c>
      <c r="C12" s="11">
        <v>320</v>
      </c>
    </row>
    <row r="13" spans="2:11" ht="15.75">
      <c r="B13" s="11" t="s">
        <v>9</v>
      </c>
      <c r="C13" s="11">
        <v>90</v>
      </c>
      <c r="D13" s="11">
        <v>75</v>
      </c>
      <c r="H13" s="11" t="s">
        <v>33</v>
      </c>
      <c r="I13" s="13">
        <f>K10/18</f>
        <v>13.281666666666666</v>
      </c>
      <c r="J13" s="11" t="s">
        <v>34</v>
      </c>
      <c r="K13" s="13">
        <f>K11/18</f>
        <v>3.07</v>
      </c>
    </row>
    <row r="14" spans="3:11" ht="15.75">
      <c r="C14" s="11"/>
      <c r="H14" s="11" t="s">
        <v>35</v>
      </c>
      <c r="I14" s="13">
        <f>I10/6</f>
        <v>3.4883333333333333</v>
      </c>
      <c r="J14" s="11" t="s">
        <v>36</v>
      </c>
      <c r="K14" s="13">
        <f>I11/6</f>
        <v>0.79</v>
      </c>
    </row>
    <row r="15" ht="12.75">
      <c r="C15" s="11"/>
    </row>
    <row r="16" spans="2:5" ht="15.75">
      <c r="B16" s="11" t="s">
        <v>37</v>
      </c>
      <c r="C16" s="11">
        <v>74.1</v>
      </c>
      <c r="D16" s="11" t="s">
        <v>38</v>
      </c>
      <c r="E16" s="12">
        <v>0.001519</v>
      </c>
    </row>
    <row r="17" spans="2:5" ht="15.75">
      <c r="B17" s="11" t="s">
        <v>39</v>
      </c>
      <c r="C17" s="11">
        <v>80.2</v>
      </c>
      <c r="D17" s="11" t="s">
        <v>40</v>
      </c>
      <c r="E17" s="12">
        <v>0.002122</v>
      </c>
    </row>
    <row r="18" ht="12.75">
      <c r="C18" s="11"/>
    </row>
    <row r="19" ht="12.75">
      <c r="C19" s="11"/>
    </row>
    <row r="20" spans="2:10" ht="15.75">
      <c r="B20" s="11" t="s">
        <v>41</v>
      </c>
      <c r="C20" s="11">
        <f>I13*E16*25703958+K13*E17*104712850</f>
        <v>1200729.58973523</v>
      </c>
      <c r="D20" s="11" t="s">
        <v>10</v>
      </c>
      <c r="F20" s="11" t="s">
        <v>42</v>
      </c>
      <c r="G20" s="12">
        <v>1.06</v>
      </c>
      <c r="H20" s="11" t="s">
        <v>57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I14*E16*25703958+K14*E17*104712850</f>
        <v>311738.10321431</v>
      </c>
      <c r="D21" s="11" t="s">
        <v>13</v>
      </c>
      <c r="F21" s="11" t="s">
        <v>43</v>
      </c>
      <c r="G21" s="12">
        <v>1.1</v>
      </c>
      <c r="H21" s="11" t="s">
        <v>14</v>
      </c>
      <c r="I21" s="12" t="s">
        <v>15</v>
      </c>
      <c r="J21" s="11" t="s">
        <v>16</v>
      </c>
    </row>
    <row r="22" spans="3:12" ht="12.75">
      <c r="C22" s="11"/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1400050.7016312783</v>
      </c>
      <c r="D24" s="11" t="s">
        <v>10</v>
      </c>
      <c r="F24" s="11" t="s">
        <v>18</v>
      </c>
      <c r="G24" s="14">
        <f>10*LOG10(C24)-10.1</f>
        <v>51.36143763563935</v>
      </c>
    </row>
    <row r="25" spans="2:7" ht="12.75">
      <c r="B25" s="11" t="s">
        <v>17</v>
      </c>
      <c r="C25" s="11">
        <f>C21*G21*G20</f>
        <v>363486.6283478855</v>
      </c>
      <c r="D25" s="11" t="s">
        <v>13</v>
      </c>
      <c r="F25" s="11" t="s">
        <v>18</v>
      </c>
      <c r="G25" s="14">
        <f>10*LOG10(C25)-10.1</f>
        <v>45.50488439014749</v>
      </c>
    </row>
    <row r="26" spans="3:7" ht="12.75">
      <c r="C26" s="11"/>
      <c r="G26" s="14"/>
    </row>
    <row r="27" ht="12.75">
      <c r="B27" s="12" t="s">
        <v>24</v>
      </c>
    </row>
    <row r="28" spans="2:5" ht="12.75">
      <c r="B28" s="11" t="s">
        <v>20</v>
      </c>
      <c r="C28" s="12" t="s">
        <v>25</v>
      </c>
      <c r="D28" s="11" t="s">
        <v>22</v>
      </c>
      <c r="E28" s="12">
        <v>1.5</v>
      </c>
    </row>
    <row r="29" spans="2:3" ht="12.75">
      <c r="B29" s="11" t="s">
        <v>20</v>
      </c>
      <c r="C29" s="12">
        <f>8.78*LOG10((F31*F31+20.25)/76.5)</f>
        <v>-2.8478230648851928</v>
      </c>
    </row>
    <row r="30" spans="2:3" ht="12.75">
      <c r="B30" s="11" t="s">
        <v>20</v>
      </c>
      <c r="C30" s="12">
        <f>8.78*LOG10((F32*F32+20.25)/76.5)</f>
        <v>1.0688209793165173</v>
      </c>
    </row>
    <row r="31" spans="2:6" ht="14.25">
      <c r="B31" s="2" t="s">
        <v>46</v>
      </c>
      <c r="C31" s="16">
        <f>G24-C29</f>
        <v>54.20926070052454</v>
      </c>
      <c r="D31" s="2" t="s">
        <v>10</v>
      </c>
      <c r="E31" s="11" t="s">
        <v>23</v>
      </c>
      <c r="F31" s="11">
        <v>4</v>
      </c>
    </row>
    <row r="32" spans="2:6" ht="14.25">
      <c r="B32" s="2" t="s">
        <v>47</v>
      </c>
      <c r="C32" s="16">
        <f>G25-C30</f>
        <v>44.43606341083097</v>
      </c>
      <c r="D32" s="2" t="s">
        <v>13</v>
      </c>
      <c r="E32" s="11" t="s">
        <v>23</v>
      </c>
      <c r="F32" s="2">
        <v>9</v>
      </c>
    </row>
    <row r="33" spans="2:4" ht="12.75">
      <c r="B33" s="2"/>
      <c r="C33" s="16"/>
      <c r="D33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58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5" ht="12.75">
      <c r="B8" s="11" t="s">
        <v>4</v>
      </c>
      <c r="C8" s="11">
        <v>2005</v>
      </c>
      <c r="D8" s="11" t="s">
        <v>48</v>
      </c>
      <c r="E8" s="13" t="s">
        <v>51</v>
      </c>
    </row>
    <row r="9" spans="2:6" ht="15.75">
      <c r="B9" s="11" t="s">
        <v>5</v>
      </c>
      <c r="C9" s="11">
        <v>50</v>
      </c>
      <c r="E9" s="11" t="s">
        <v>26</v>
      </c>
      <c r="F9" s="11">
        <f>(C9/C12*100)</f>
        <v>16.129032258064516</v>
      </c>
    </row>
    <row r="10" spans="2:11" ht="15.75">
      <c r="B10" s="11" t="s">
        <v>6</v>
      </c>
      <c r="C10" s="11">
        <v>250</v>
      </c>
      <c r="E10" s="11" t="s">
        <v>27</v>
      </c>
      <c r="F10" s="11">
        <f>(6.4+(-2.1+0.2*F9))/100</f>
        <v>0.07525806451612904</v>
      </c>
      <c r="H10" s="11" t="s">
        <v>28</v>
      </c>
      <c r="I10" s="13">
        <f>(C10+C11)*F10</f>
        <v>19.56709677419355</v>
      </c>
      <c r="J10" s="11" t="s">
        <v>29</v>
      </c>
      <c r="K10" s="13">
        <f>(C10+C11)-I10</f>
        <v>240.43290322580646</v>
      </c>
    </row>
    <row r="11" spans="2:11" ht="15.75">
      <c r="B11" s="11" t="s">
        <v>7</v>
      </c>
      <c r="C11" s="11">
        <v>10</v>
      </c>
      <c r="E11" s="11" t="s">
        <v>30</v>
      </c>
      <c r="F11" s="11">
        <f>(7.9)/100</f>
        <v>0.079</v>
      </c>
      <c r="H11" s="11" t="s">
        <v>31</v>
      </c>
      <c r="I11" s="13">
        <f>(C9)*F11</f>
        <v>3.95</v>
      </c>
      <c r="J11" s="11" t="s">
        <v>32</v>
      </c>
      <c r="K11" s="13">
        <f>C9-I11</f>
        <v>46.05</v>
      </c>
    </row>
    <row r="12" spans="2:3" ht="12.75">
      <c r="B12" s="11" t="s">
        <v>8</v>
      </c>
      <c r="C12" s="11">
        <v>310</v>
      </c>
    </row>
    <row r="13" spans="2:11" ht="15.75">
      <c r="B13" s="11" t="s">
        <v>9</v>
      </c>
      <c r="C13" s="11">
        <v>50</v>
      </c>
      <c r="D13" s="11">
        <v>45</v>
      </c>
      <c r="H13" s="11" t="s">
        <v>33</v>
      </c>
      <c r="I13" s="13">
        <f>K10/18</f>
        <v>13.357383512544803</v>
      </c>
      <c r="J13" s="11" t="s">
        <v>34</v>
      </c>
      <c r="K13" s="13">
        <f>K11/18</f>
        <v>2.558333333333333</v>
      </c>
    </row>
    <row r="14" spans="8:11" ht="15.75">
      <c r="H14" s="11" t="s">
        <v>35</v>
      </c>
      <c r="I14" s="13">
        <f>I10/6</f>
        <v>3.261182795698925</v>
      </c>
      <c r="J14" s="11" t="s">
        <v>36</v>
      </c>
      <c r="K14" s="13">
        <f>I11/6</f>
        <v>0.6583333333333333</v>
      </c>
    </row>
    <row r="16" spans="2:5" ht="15.75">
      <c r="B16" s="11" t="s">
        <v>37</v>
      </c>
      <c r="C16" s="11">
        <v>75.6</v>
      </c>
      <c r="D16" s="11" t="s">
        <v>38</v>
      </c>
      <c r="E16" s="12">
        <v>0.0007545</v>
      </c>
    </row>
    <row r="17" spans="2:5" ht="15.75">
      <c r="B17" s="11" t="s">
        <v>39</v>
      </c>
      <c r="C17" s="11">
        <v>82.4</v>
      </c>
      <c r="D17" s="11" t="s">
        <v>40</v>
      </c>
      <c r="E17" s="12">
        <v>0.002236</v>
      </c>
    </row>
    <row r="20" spans="2:10" ht="15.75">
      <c r="B20" s="11" t="s">
        <v>41</v>
      </c>
      <c r="C20" s="11">
        <f>I13*E16*36307805+K13*E17*173780080</f>
        <v>1360012.716955579</v>
      </c>
      <c r="D20" s="11" t="s">
        <v>10</v>
      </c>
      <c r="F20" s="11" t="s">
        <v>42</v>
      </c>
      <c r="G20" s="12">
        <v>1.21</v>
      </c>
      <c r="H20" s="11" t="s">
        <v>59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I14*E16*30602954+K14*E17*138038430</f>
        <v>278497.6487746448</v>
      </c>
      <c r="D21" s="11" t="s">
        <v>13</v>
      </c>
      <c r="F21" s="11" t="s">
        <v>43</v>
      </c>
      <c r="G21" s="12">
        <v>1</v>
      </c>
      <c r="H21" s="11" t="s">
        <v>49</v>
      </c>
      <c r="I21" s="12" t="s">
        <v>15</v>
      </c>
      <c r="J21" s="11" t="s">
        <v>16</v>
      </c>
    </row>
    <row r="22" ht="12.75"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1645615.3875162504</v>
      </c>
      <c r="D24" s="11" t="s">
        <v>10</v>
      </c>
      <c r="F24" s="11" t="s">
        <v>18</v>
      </c>
      <c r="G24" s="14">
        <f>10*LOG10(C24)-10.1</f>
        <v>52.063283396262364</v>
      </c>
    </row>
    <row r="25" spans="2:7" ht="12.75">
      <c r="B25" s="11" t="s">
        <v>17</v>
      </c>
      <c r="C25" s="11">
        <f>C21*G21*G20</f>
        <v>336982.15501732024</v>
      </c>
      <c r="D25" s="11" t="s">
        <v>13</v>
      </c>
      <c r="F25" s="11" t="s">
        <v>18</v>
      </c>
      <c r="G25" s="14">
        <f>10*LOG10(C25)-10.1</f>
        <v>45.176069032965465</v>
      </c>
    </row>
    <row r="26" ht="12.75">
      <c r="G26" s="14"/>
    </row>
    <row r="27" ht="12.75">
      <c r="B27" s="12" t="s">
        <v>19</v>
      </c>
    </row>
    <row r="28" spans="2:7" ht="12.75">
      <c r="B28" s="11" t="s">
        <v>20</v>
      </c>
      <c r="C28" s="11" t="s">
        <v>21</v>
      </c>
      <c r="D28" s="11" t="s">
        <v>22</v>
      </c>
      <c r="E28" s="12">
        <v>1.5</v>
      </c>
      <c r="F28" s="11" t="s">
        <v>23</v>
      </c>
      <c r="G28" s="12">
        <v>15</v>
      </c>
    </row>
    <row r="29" spans="2:3" ht="12.75">
      <c r="B29" s="11" t="s">
        <v>20</v>
      </c>
      <c r="C29" s="11">
        <v>2.4</v>
      </c>
    </row>
    <row r="31" spans="2:4" ht="14.25">
      <c r="B31" s="2" t="s">
        <v>45</v>
      </c>
      <c r="C31" s="15">
        <f>G24-2.4</f>
        <v>49.663283396262365</v>
      </c>
      <c r="D31" s="2" t="s">
        <v>10</v>
      </c>
    </row>
    <row r="32" spans="2:4" ht="14.25">
      <c r="B32" s="2" t="s">
        <v>45</v>
      </c>
      <c r="C32" s="15">
        <f>G25-2.4</f>
        <v>42.77606903296547</v>
      </c>
      <c r="D32" s="2" t="s">
        <v>13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56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5" ht="12.75">
      <c r="B8" s="11" t="s">
        <v>4</v>
      </c>
      <c r="C8" s="11">
        <v>2005</v>
      </c>
      <c r="D8" s="11" t="s">
        <v>48</v>
      </c>
      <c r="E8" s="13" t="s">
        <v>51</v>
      </c>
    </row>
    <row r="9" spans="2:6" ht="15.75">
      <c r="B9" s="11" t="s">
        <v>5</v>
      </c>
      <c r="C9" s="11">
        <v>40</v>
      </c>
      <c r="E9" s="11" t="s">
        <v>26</v>
      </c>
      <c r="F9" s="11">
        <f>(C9/C12*100)</f>
        <v>16.3265306122449</v>
      </c>
    </row>
    <row r="10" spans="2:11" ht="15.75">
      <c r="B10" s="11" t="s">
        <v>6</v>
      </c>
      <c r="C10" s="11">
        <v>200</v>
      </c>
      <c r="E10" s="11" t="s">
        <v>27</v>
      </c>
      <c r="F10" s="11">
        <f>(6.4+(-2.1+0.2*F9))/100</f>
        <v>0.07565306122448981</v>
      </c>
      <c r="H10" s="11" t="s">
        <v>28</v>
      </c>
      <c r="I10" s="13">
        <f>(C10+C11)*F10</f>
        <v>15.508877551020412</v>
      </c>
      <c r="J10" s="11" t="s">
        <v>29</v>
      </c>
      <c r="K10" s="13">
        <f>(C10+C11)-I10</f>
        <v>189.49112244897958</v>
      </c>
    </row>
    <row r="11" spans="2:11" ht="15.75">
      <c r="B11" s="11" t="s">
        <v>7</v>
      </c>
      <c r="C11" s="11">
        <v>5</v>
      </c>
      <c r="E11" s="11" t="s">
        <v>30</v>
      </c>
      <c r="F11" s="11">
        <f>(7.9)/100</f>
        <v>0.079</v>
      </c>
      <c r="H11" s="11" t="s">
        <v>31</v>
      </c>
      <c r="I11" s="13">
        <f>(C9)*F11</f>
        <v>3.16</v>
      </c>
      <c r="J11" s="11" t="s">
        <v>32</v>
      </c>
      <c r="K11" s="13">
        <f>C9-I11</f>
        <v>36.84</v>
      </c>
    </row>
    <row r="12" spans="2:3" ht="12.75">
      <c r="B12" s="11" t="s">
        <v>8</v>
      </c>
      <c r="C12" s="11">
        <v>245</v>
      </c>
    </row>
    <row r="13" spans="2:11" ht="15.75">
      <c r="B13" s="11" t="s">
        <v>9</v>
      </c>
      <c r="C13" s="11">
        <v>50</v>
      </c>
      <c r="D13" s="11">
        <v>45</v>
      </c>
      <c r="H13" s="11" t="s">
        <v>33</v>
      </c>
      <c r="I13" s="13">
        <f>K10/18</f>
        <v>10.527284580498865</v>
      </c>
      <c r="J13" s="11" t="s">
        <v>34</v>
      </c>
      <c r="K13" s="13">
        <f>K11/18</f>
        <v>2.046666666666667</v>
      </c>
    </row>
    <row r="14" spans="8:11" ht="15.75">
      <c r="H14" s="11" t="s">
        <v>35</v>
      </c>
      <c r="I14" s="13">
        <f>I10/6</f>
        <v>2.5848129251700684</v>
      </c>
      <c r="J14" s="11" t="s">
        <v>36</v>
      </c>
      <c r="K14" s="13">
        <f>I11/6</f>
        <v>0.5266666666666667</v>
      </c>
    </row>
    <row r="16" spans="2:5" ht="15.75">
      <c r="B16" s="11" t="s">
        <v>37</v>
      </c>
      <c r="C16" s="11">
        <v>75.6</v>
      </c>
      <c r="D16" s="11" t="s">
        <v>38</v>
      </c>
      <c r="E16" s="12">
        <v>0.0007545</v>
      </c>
    </row>
    <row r="17" spans="2:5" ht="15.75">
      <c r="B17" s="11" t="s">
        <v>39</v>
      </c>
      <c r="C17" s="11">
        <v>82.4</v>
      </c>
      <c r="D17" s="11" t="s">
        <v>40</v>
      </c>
      <c r="E17" s="12">
        <v>0.002236</v>
      </c>
    </row>
    <row r="20" spans="2:10" ht="15.75">
      <c r="B20" s="11" t="s">
        <v>41</v>
      </c>
      <c r="C20" s="11">
        <f>I13*E16*36307805+K13*E17*173780080</f>
        <v>1083664.8383180387</v>
      </c>
      <c r="D20" s="11" t="s">
        <v>10</v>
      </c>
      <c r="F20" s="11" t="s">
        <v>42</v>
      </c>
      <c r="G20" s="12">
        <v>1.06</v>
      </c>
      <c r="H20" s="11" t="s">
        <v>57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I14*E16*30602954+K14*E17*138038430</f>
        <v>222240.88257820296</v>
      </c>
      <c r="D21" s="11" t="s">
        <v>13</v>
      </c>
      <c r="F21" s="11" t="s">
        <v>43</v>
      </c>
      <c r="G21" s="12">
        <v>1</v>
      </c>
      <c r="H21" s="11" t="s">
        <v>49</v>
      </c>
      <c r="I21" s="12" t="s">
        <v>15</v>
      </c>
      <c r="J21" s="11" t="s">
        <v>16</v>
      </c>
    </row>
    <row r="22" ht="12.75"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1148684.728617121</v>
      </c>
      <c r="D24" s="11" t="s">
        <v>10</v>
      </c>
      <c r="F24" s="11" t="s">
        <v>18</v>
      </c>
      <c r="G24" s="14">
        <f>10*LOG10(C24)-10.1</f>
        <v>50.50200847304486</v>
      </c>
    </row>
    <row r="25" spans="2:7" ht="12.75">
      <c r="B25" s="11" t="s">
        <v>17</v>
      </c>
      <c r="C25" s="11">
        <f>C21*G21*G20</f>
        <v>235575.33553289514</v>
      </c>
      <c r="D25" s="11" t="s">
        <v>13</v>
      </c>
      <c r="F25" s="11" t="s">
        <v>18</v>
      </c>
      <c r="G25" s="14">
        <f>10*LOG10(C25)-10.1</f>
        <v>43.62129818361705</v>
      </c>
    </row>
    <row r="26" ht="12.75">
      <c r="G26" s="14"/>
    </row>
    <row r="27" ht="12.75">
      <c r="B27" s="12" t="s">
        <v>19</v>
      </c>
    </row>
    <row r="28" spans="2:7" ht="12.75">
      <c r="B28" s="11" t="s">
        <v>20</v>
      </c>
      <c r="C28" s="11" t="s">
        <v>21</v>
      </c>
      <c r="D28" s="11" t="s">
        <v>22</v>
      </c>
      <c r="E28" s="12">
        <v>1.5</v>
      </c>
      <c r="F28" s="11" t="s">
        <v>23</v>
      </c>
      <c r="G28" s="12">
        <v>15</v>
      </c>
    </row>
    <row r="29" spans="2:3" ht="12.75">
      <c r="B29" s="11" t="s">
        <v>20</v>
      </c>
      <c r="C29" s="11">
        <v>2.4</v>
      </c>
    </row>
    <row r="31" spans="2:4" ht="14.25">
      <c r="B31" s="2" t="s">
        <v>45</v>
      </c>
      <c r="C31" s="15">
        <f>G24-2.4</f>
        <v>48.10200847304486</v>
      </c>
      <c r="D31" s="2" t="s">
        <v>10</v>
      </c>
    </row>
    <row r="32" spans="2:4" ht="14.25">
      <c r="B32" s="2" t="s">
        <v>45</v>
      </c>
      <c r="C32" s="15">
        <f>G25-2.4</f>
        <v>41.22129818361705</v>
      </c>
      <c r="D32" s="2" t="s">
        <v>13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54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53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4" ht="12.75">
      <c r="B8" s="11" t="s">
        <v>4</v>
      </c>
      <c r="C8" s="11">
        <v>2005</v>
      </c>
      <c r="D8" s="13">
        <v>61780</v>
      </c>
    </row>
    <row r="9" spans="2:6" ht="15.75">
      <c r="B9" s="11" t="s">
        <v>5</v>
      </c>
      <c r="C9" s="11">
        <v>1127</v>
      </c>
      <c r="E9" s="11" t="s">
        <v>26</v>
      </c>
      <c r="F9" s="11">
        <f>(C9/C12*100)</f>
        <v>20.0927081476199</v>
      </c>
    </row>
    <row r="10" spans="2:11" ht="15.75">
      <c r="B10" s="11" t="s">
        <v>6</v>
      </c>
      <c r="C10" s="11">
        <v>4454</v>
      </c>
      <c r="E10" s="11" t="s">
        <v>27</v>
      </c>
      <c r="F10" s="11">
        <f>(6.9+(-1.4+0.1*F9))/100</f>
        <v>0.0750927081476199</v>
      </c>
      <c r="H10" s="11" t="s">
        <v>28</v>
      </c>
      <c r="I10" s="13">
        <f>(C10+C11)*F10</f>
        <v>336.56551791763235</v>
      </c>
      <c r="J10" s="11" t="s">
        <v>29</v>
      </c>
      <c r="K10" s="13">
        <f>(C10+C11)-I10</f>
        <v>4145.434482082368</v>
      </c>
    </row>
    <row r="11" spans="2:11" ht="15.75">
      <c r="B11" s="11" t="s">
        <v>7</v>
      </c>
      <c r="C11" s="11">
        <v>28</v>
      </c>
      <c r="E11" s="11" t="s">
        <v>30</v>
      </c>
      <c r="F11" s="11">
        <f>(10+(-2.2+0.1*F9))/100</f>
        <v>0.09809270814761989</v>
      </c>
      <c r="H11" s="11" t="s">
        <v>31</v>
      </c>
      <c r="I11" s="13">
        <f>(C9)*F11</f>
        <v>110.55048208236761</v>
      </c>
      <c r="J11" s="11" t="s">
        <v>32</v>
      </c>
      <c r="K11" s="13">
        <f>C9-I11</f>
        <v>1016.4495179176324</v>
      </c>
    </row>
    <row r="12" spans="2:3" ht="12.75">
      <c r="B12" s="11" t="s">
        <v>8</v>
      </c>
      <c r="C12" s="11">
        <f>SUM(C9:C11)</f>
        <v>5609</v>
      </c>
    </row>
    <row r="13" spans="2:11" ht="15.75">
      <c r="B13" s="11" t="s">
        <v>9</v>
      </c>
      <c r="C13" s="11">
        <v>90</v>
      </c>
      <c r="D13" s="11">
        <v>75</v>
      </c>
      <c r="H13" s="11" t="s">
        <v>33</v>
      </c>
      <c r="I13" s="13">
        <f>K10/18</f>
        <v>230.30191567124268</v>
      </c>
      <c r="J13" s="11" t="s">
        <v>34</v>
      </c>
      <c r="K13" s="13">
        <f>K11/18</f>
        <v>56.46941766209069</v>
      </c>
    </row>
    <row r="14" spans="8:11" ht="15.75">
      <c r="H14" s="11" t="s">
        <v>35</v>
      </c>
      <c r="I14" s="13">
        <f>I10/6</f>
        <v>56.09425298627206</v>
      </c>
      <c r="J14" s="11" t="s">
        <v>36</v>
      </c>
      <c r="K14" s="13">
        <f>I11/6</f>
        <v>18.425080347061268</v>
      </c>
    </row>
    <row r="16" spans="2:5" ht="15.75">
      <c r="B16" s="11" t="s">
        <v>37</v>
      </c>
      <c r="C16" s="11">
        <v>74.9</v>
      </c>
      <c r="D16" s="11" t="s">
        <v>38</v>
      </c>
      <c r="E16" s="12">
        <v>0.001519</v>
      </c>
    </row>
    <row r="17" spans="2:5" ht="15.75">
      <c r="B17" s="11" t="s">
        <v>39</v>
      </c>
      <c r="C17" s="11">
        <v>81.4</v>
      </c>
      <c r="D17" s="11" t="s">
        <v>40</v>
      </c>
      <c r="E17" s="12">
        <v>0.002122</v>
      </c>
    </row>
    <row r="20" spans="2:10" ht="15.75">
      <c r="B20" s="11" t="s">
        <v>41</v>
      </c>
      <c r="C20" s="11">
        <f>I13*E16*30902954+K13*E17*138038430</f>
        <v>27351620.824309774</v>
      </c>
      <c r="D20" s="11" t="s">
        <v>10</v>
      </c>
      <c r="F20" s="11" t="s">
        <v>42</v>
      </c>
      <c r="G20" s="12">
        <v>1.13</v>
      </c>
      <c r="H20" s="11" t="s">
        <v>52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I14*E16*30602954+K14*E17*138038430</f>
        <v>8004620.478176844</v>
      </c>
      <c r="D21" s="11" t="s">
        <v>13</v>
      </c>
      <c r="F21" s="11" t="s">
        <v>43</v>
      </c>
      <c r="G21" s="12">
        <v>1.1</v>
      </c>
      <c r="H21" s="11" t="s">
        <v>14</v>
      </c>
      <c r="I21" s="12" t="s">
        <v>15</v>
      </c>
      <c r="J21" s="11" t="s">
        <v>16</v>
      </c>
    </row>
    <row r="22" ht="12.75"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33998064.68461705</v>
      </c>
      <c r="D24" s="11" t="s">
        <v>10</v>
      </c>
      <c r="F24" s="11" t="s">
        <v>18</v>
      </c>
      <c r="G24" s="14">
        <f>10*LOG10(C24)-10.1</f>
        <v>65.21454195844801</v>
      </c>
    </row>
    <row r="25" spans="2:7" ht="12.75">
      <c r="B25" s="11" t="s">
        <v>17</v>
      </c>
      <c r="C25" s="11">
        <f>C21*G21*G20</f>
        <v>9949743.254373819</v>
      </c>
      <c r="D25" s="11" t="s">
        <v>13</v>
      </c>
      <c r="F25" s="11" t="s">
        <v>18</v>
      </c>
      <c r="G25" s="14">
        <f>10*LOG10(C25)-10.1</f>
        <v>59.87811874248508</v>
      </c>
    </row>
    <row r="26" ht="12.75">
      <c r="G26" s="14"/>
    </row>
    <row r="27" spans="2:3" ht="12.75">
      <c r="B27" s="12" t="s">
        <v>24</v>
      </c>
      <c r="C27" s="12"/>
    </row>
    <row r="28" spans="2:5" ht="12.75">
      <c r="B28" s="11" t="s">
        <v>20</v>
      </c>
      <c r="C28" s="12" t="s">
        <v>25</v>
      </c>
      <c r="D28" s="11" t="s">
        <v>22</v>
      </c>
      <c r="E28" s="12">
        <v>1.5</v>
      </c>
    </row>
    <row r="29" spans="2:3" ht="12.75">
      <c r="B29" s="11" t="s">
        <v>20</v>
      </c>
      <c r="C29" s="12">
        <f>8.78*LOG10((F31*F31+20.25)/76.5)</f>
        <v>10.420439407253289</v>
      </c>
    </row>
    <row r="30" spans="2:3" ht="12.75">
      <c r="B30" s="11" t="s">
        <v>20</v>
      </c>
      <c r="C30" s="12">
        <f>8.78*LOG10((F32*F32+20.25)/76.5)</f>
        <v>14.955885192297865</v>
      </c>
    </row>
    <row r="31" spans="2:6" ht="14.25">
      <c r="B31" s="2" t="s">
        <v>46</v>
      </c>
      <c r="C31" s="16">
        <f>G24-C29</f>
        <v>54.79410255119472</v>
      </c>
      <c r="D31" s="2" t="s">
        <v>10</v>
      </c>
      <c r="E31" s="11" t="s">
        <v>23</v>
      </c>
      <c r="F31" s="11">
        <v>34</v>
      </c>
    </row>
    <row r="32" spans="2:6" ht="14.25">
      <c r="B32" s="2" t="s">
        <v>47</v>
      </c>
      <c r="C32" s="16">
        <f>G25-C30</f>
        <v>44.922233550187215</v>
      </c>
      <c r="D32" s="2" t="s">
        <v>13</v>
      </c>
      <c r="E32" s="11" t="s">
        <v>23</v>
      </c>
      <c r="F32" s="2">
        <v>62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55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53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5" ht="12.75">
      <c r="B8" s="11" t="s">
        <v>4</v>
      </c>
      <c r="C8" s="11">
        <v>2025</v>
      </c>
      <c r="D8" s="13">
        <v>61780</v>
      </c>
      <c r="E8" s="12" t="s">
        <v>51</v>
      </c>
    </row>
    <row r="9" spans="2:6" ht="15.75">
      <c r="B9" s="11" t="s">
        <v>5</v>
      </c>
      <c r="C9" s="11">
        <v>1500</v>
      </c>
      <c r="E9" s="11" t="s">
        <v>26</v>
      </c>
      <c r="F9" s="11">
        <f>(C9/C12*100)</f>
        <v>22.590361445783135</v>
      </c>
    </row>
    <row r="10" spans="2:11" ht="15.75">
      <c r="B10" s="11" t="s">
        <v>6</v>
      </c>
      <c r="C10" s="11">
        <v>5100</v>
      </c>
      <c r="E10" s="11" t="s">
        <v>27</v>
      </c>
      <c r="F10" s="11">
        <f>(6.9+(-1.4+0.1*F9))/100</f>
        <v>0.07759036144578314</v>
      </c>
      <c r="H10" s="11" t="s">
        <v>28</v>
      </c>
      <c r="I10" s="13">
        <f>(C10+C11)*F10</f>
        <v>398.81445783132534</v>
      </c>
      <c r="J10" s="11" t="s">
        <v>29</v>
      </c>
      <c r="K10" s="13">
        <f>(C10+C11)-I10</f>
        <v>4741.185542168675</v>
      </c>
    </row>
    <row r="11" spans="2:11" ht="15.75">
      <c r="B11" s="11" t="s">
        <v>7</v>
      </c>
      <c r="C11" s="11">
        <v>40</v>
      </c>
      <c r="E11" s="11" t="s">
        <v>30</v>
      </c>
      <c r="F11" s="11">
        <f>(10+(-2.2+0.1*F9))/100</f>
        <v>0.10059036144578312</v>
      </c>
      <c r="H11" s="11" t="s">
        <v>31</v>
      </c>
      <c r="I11" s="13">
        <f>(C9)*F11</f>
        <v>150.88554216867468</v>
      </c>
      <c r="J11" s="11" t="s">
        <v>32</v>
      </c>
      <c r="K11" s="13">
        <f>C9-I11</f>
        <v>1349.1144578313254</v>
      </c>
    </row>
    <row r="12" spans="2:3" ht="12.75">
      <c r="B12" s="11" t="s">
        <v>8</v>
      </c>
      <c r="C12" s="11">
        <f>SUM(C9:C11)</f>
        <v>6640</v>
      </c>
    </row>
    <row r="13" spans="2:11" ht="15.75">
      <c r="B13" s="11" t="s">
        <v>9</v>
      </c>
      <c r="C13" s="11">
        <v>90</v>
      </c>
      <c r="D13" s="11">
        <v>75</v>
      </c>
      <c r="H13" s="11" t="s">
        <v>33</v>
      </c>
      <c r="I13" s="13">
        <f>K10/18</f>
        <v>263.39919678714864</v>
      </c>
      <c r="J13" s="11" t="s">
        <v>34</v>
      </c>
      <c r="K13" s="13">
        <f>K11/18</f>
        <v>74.95080321285141</v>
      </c>
    </row>
    <row r="14" spans="8:11" ht="15.75">
      <c r="H14" s="11" t="s">
        <v>35</v>
      </c>
      <c r="I14" s="13">
        <f>I10/6</f>
        <v>66.4690763052209</v>
      </c>
      <c r="J14" s="11" t="s">
        <v>36</v>
      </c>
      <c r="K14" s="13">
        <f>I11/6</f>
        <v>25.14759036144578</v>
      </c>
    </row>
    <row r="16" spans="2:5" ht="15.75">
      <c r="B16" s="11" t="s">
        <v>37</v>
      </c>
      <c r="C16" s="11">
        <v>74.1</v>
      </c>
      <c r="D16" s="11" t="s">
        <v>38</v>
      </c>
      <c r="E16" s="12">
        <v>0.001519</v>
      </c>
    </row>
    <row r="17" spans="2:5" ht="15.75">
      <c r="B17" s="11" t="s">
        <v>39</v>
      </c>
      <c r="C17" s="11">
        <v>80.2</v>
      </c>
      <c r="D17" s="11" t="s">
        <v>40</v>
      </c>
      <c r="E17" s="12">
        <v>0.002122</v>
      </c>
    </row>
    <row r="20" spans="2:10" ht="15.75">
      <c r="B20" s="11" t="s">
        <v>41</v>
      </c>
      <c r="C20" s="11">
        <f>I13*E16*25703958+K13*E17*104712850</f>
        <v>26938358.991660357</v>
      </c>
      <c r="D20" s="11" t="s">
        <v>10</v>
      </c>
      <c r="F20" s="11" t="s">
        <v>42</v>
      </c>
      <c r="G20" s="12">
        <v>1.13</v>
      </c>
      <c r="H20" s="11" t="s">
        <v>52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I14*E16*25703958+K14*E17*104712850</f>
        <v>8183050.736398943</v>
      </c>
      <c r="D21" s="11" t="s">
        <v>13</v>
      </c>
      <c r="F21" s="11" t="s">
        <v>43</v>
      </c>
      <c r="G21" s="12">
        <v>1.1</v>
      </c>
      <c r="H21" s="11" t="s">
        <v>14</v>
      </c>
      <c r="I21" s="12" t="s">
        <v>15</v>
      </c>
      <c r="J21" s="11" t="s">
        <v>16</v>
      </c>
    </row>
    <row r="22" ht="12.75"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33484380.22663382</v>
      </c>
      <c r="D24" s="11" t="s">
        <v>10</v>
      </c>
      <c r="F24" s="11" t="s">
        <v>18</v>
      </c>
      <c r="G24" s="14">
        <f>10*LOG10(C24)-10.1</f>
        <v>65.14842264847711</v>
      </c>
    </row>
    <row r="25" spans="2:7" ht="12.75">
      <c r="B25" s="11" t="s">
        <v>17</v>
      </c>
      <c r="C25" s="11">
        <f>C21*G21*G20</f>
        <v>10171532.065343887</v>
      </c>
      <c r="D25" s="11" t="s">
        <v>13</v>
      </c>
      <c r="F25" s="11" t="s">
        <v>18</v>
      </c>
      <c r="G25" s="14">
        <f>10*LOG10(C25)-10.1</f>
        <v>59.973863725306565</v>
      </c>
    </row>
    <row r="26" ht="12.75">
      <c r="G26" s="14"/>
    </row>
    <row r="27" spans="2:3" ht="12.75">
      <c r="B27" s="12" t="s">
        <v>24</v>
      </c>
      <c r="C27" s="12"/>
    </row>
    <row r="28" spans="2:5" ht="12.75">
      <c r="B28" s="11" t="s">
        <v>20</v>
      </c>
      <c r="C28" s="12" t="s">
        <v>25</v>
      </c>
      <c r="D28" s="11" t="s">
        <v>22</v>
      </c>
      <c r="E28" s="12">
        <v>1.5</v>
      </c>
    </row>
    <row r="29" spans="2:3" ht="12.75">
      <c r="B29" s="11" t="s">
        <v>20</v>
      </c>
      <c r="C29" s="12">
        <f>8.78*LOG10((F31*F31+20.25)/76.5)</f>
        <v>10.420439407253289</v>
      </c>
    </row>
    <row r="30" spans="2:3" ht="12.75">
      <c r="B30" s="11" t="s">
        <v>20</v>
      </c>
      <c r="C30" s="12">
        <f>8.78*LOG10((F32*F32+20.25)/76.5)</f>
        <v>15.314443315671115</v>
      </c>
    </row>
    <row r="31" spans="2:6" ht="14.25">
      <c r="B31" s="2" t="s">
        <v>46</v>
      </c>
      <c r="C31" s="16">
        <f>G24-C29</f>
        <v>54.72798324122382</v>
      </c>
      <c r="D31" s="2" t="s">
        <v>10</v>
      </c>
      <c r="E31" s="11" t="s">
        <v>23</v>
      </c>
      <c r="F31" s="11">
        <v>34</v>
      </c>
    </row>
    <row r="32" spans="2:6" ht="14.25">
      <c r="B32" s="2" t="s">
        <v>47</v>
      </c>
      <c r="C32" s="16">
        <f>G25-C30</f>
        <v>44.65942040963545</v>
      </c>
      <c r="D32" s="2" t="s">
        <v>13</v>
      </c>
      <c r="E32" s="11" t="s">
        <v>23</v>
      </c>
      <c r="F32" s="2">
        <v>65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1" customWidth="1"/>
    <col min="3" max="3" width="8.75390625" style="12" customWidth="1"/>
    <col min="4" max="4" width="8.75390625" style="11" customWidth="1"/>
    <col min="5" max="5" width="8.75390625" style="12" customWidth="1"/>
    <col min="6" max="6" width="6.7539062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60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50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10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10"/>
    </row>
    <row r="8" spans="1:6" ht="12.75">
      <c r="A8" s="11"/>
      <c r="B8" s="11" t="s">
        <v>4</v>
      </c>
      <c r="C8" s="11">
        <v>2005</v>
      </c>
      <c r="D8" s="11" t="s">
        <v>48</v>
      </c>
      <c r="E8" s="13" t="s">
        <v>51</v>
      </c>
      <c r="F8" s="17"/>
    </row>
    <row r="9" spans="1:6" ht="15.75">
      <c r="A9" s="11"/>
      <c r="B9" s="11" t="s">
        <v>5</v>
      </c>
      <c r="C9" s="11">
        <v>50</v>
      </c>
      <c r="E9" s="11" t="s">
        <v>26</v>
      </c>
      <c r="F9" s="11">
        <f>(C9/C12*100)</f>
        <v>16.39344262295082</v>
      </c>
    </row>
    <row r="10" spans="1:11" ht="15.75">
      <c r="A10" s="11"/>
      <c r="B10" s="11" t="s">
        <v>6</v>
      </c>
      <c r="C10" s="11">
        <v>250</v>
      </c>
      <c r="E10" s="11" t="s">
        <v>27</v>
      </c>
      <c r="F10" s="11">
        <f>(6.4+(-2.1+0.2*F9))/100</f>
        <v>0.07578688524590164</v>
      </c>
      <c r="H10" s="11" t="s">
        <v>28</v>
      </c>
      <c r="I10" s="13">
        <f>(C10+C11)*F10</f>
        <v>19.32565573770492</v>
      </c>
      <c r="J10" s="11" t="s">
        <v>29</v>
      </c>
      <c r="K10" s="13">
        <f>(C10+C11)-I10</f>
        <v>235.67434426229508</v>
      </c>
    </row>
    <row r="11" spans="1:11" ht="15.75">
      <c r="A11" s="11"/>
      <c r="B11" s="11" t="s">
        <v>7</v>
      </c>
      <c r="C11" s="11">
        <v>5</v>
      </c>
      <c r="E11" s="11" t="s">
        <v>30</v>
      </c>
      <c r="F11" s="11">
        <f>(7.9)/100</f>
        <v>0.079</v>
      </c>
      <c r="H11" s="11" t="s">
        <v>31</v>
      </c>
      <c r="I11" s="13">
        <f>(C9)*F11</f>
        <v>3.95</v>
      </c>
      <c r="J11" s="11" t="s">
        <v>32</v>
      </c>
      <c r="K11" s="13">
        <f>C9-I11</f>
        <v>46.05</v>
      </c>
    </row>
    <row r="12" spans="1:3" ht="12.75">
      <c r="A12" s="11"/>
      <c r="B12" s="11" t="s">
        <v>8</v>
      </c>
      <c r="C12" s="11">
        <v>305</v>
      </c>
    </row>
    <row r="13" spans="2:11" ht="15.75">
      <c r="B13" s="11" t="s">
        <v>9</v>
      </c>
      <c r="C13" s="11">
        <v>90</v>
      </c>
      <c r="D13" s="11">
        <v>75</v>
      </c>
      <c r="H13" s="11" t="s">
        <v>33</v>
      </c>
      <c r="I13" s="13">
        <f>K10/18</f>
        <v>13.09301912568306</v>
      </c>
      <c r="J13" s="11" t="s">
        <v>34</v>
      </c>
      <c r="K13" s="13">
        <f>K11/18</f>
        <v>2.558333333333333</v>
      </c>
    </row>
    <row r="14" spans="3:11" ht="15.75">
      <c r="C14" s="11"/>
      <c r="H14" s="11" t="s">
        <v>35</v>
      </c>
      <c r="I14" s="13">
        <f>I10/6</f>
        <v>3.2209426229508202</v>
      </c>
      <c r="J14" s="11" t="s">
        <v>36</v>
      </c>
      <c r="K14" s="13">
        <f>I11/6</f>
        <v>0.6583333333333333</v>
      </c>
    </row>
    <row r="15" ht="12.75">
      <c r="C15" s="11"/>
    </row>
    <row r="16" spans="2:5" ht="15.75">
      <c r="B16" s="11" t="s">
        <v>37</v>
      </c>
      <c r="C16" s="11">
        <v>74.1</v>
      </c>
      <c r="D16" s="11" t="s">
        <v>38</v>
      </c>
      <c r="E16" s="12">
        <v>0.001519</v>
      </c>
    </row>
    <row r="17" spans="2:5" ht="15.75">
      <c r="B17" s="11" t="s">
        <v>39</v>
      </c>
      <c r="C17" s="11">
        <v>80.2</v>
      </c>
      <c r="D17" s="11" t="s">
        <v>40</v>
      </c>
      <c r="E17" s="12">
        <v>0.002122</v>
      </c>
    </row>
    <row r="18" ht="12.75">
      <c r="C18" s="11"/>
    </row>
    <row r="19" ht="12.75">
      <c r="C19" s="11"/>
    </row>
    <row r="20" spans="2:10" ht="15.75">
      <c r="B20" s="11" t="s">
        <v>41</v>
      </c>
      <c r="C20" s="11">
        <f>I13*E16*25703958+K13*E17*104712850</f>
        <v>1079671.3012757597</v>
      </c>
      <c r="D20" s="11" t="s">
        <v>10</v>
      </c>
      <c r="F20" s="11" t="s">
        <v>42</v>
      </c>
      <c r="G20" s="12">
        <v>1.13</v>
      </c>
      <c r="H20" s="11" t="s">
        <v>52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I14*E16*25703958+K14*E17*104712850</f>
        <v>272041.59559105395</v>
      </c>
      <c r="D21" s="11" t="s">
        <v>13</v>
      </c>
      <c r="F21" s="11" t="s">
        <v>43</v>
      </c>
      <c r="G21" s="12">
        <v>1.1</v>
      </c>
      <c r="H21" s="11" t="s">
        <v>14</v>
      </c>
      <c r="I21" s="12" t="s">
        <v>15</v>
      </c>
      <c r="J21" s="11" t="s">
        <v>16</v>
      </c>
    </row>
    <row r="22" spans="3:12" ht="12.75">
      <c r="C22" s="11"/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1342031.4274857691</v>
      </c>
      <c r="D24" s="11" t="s">
        <v>10</v>
      </c>
      <c r="F24" s="11" t="s">
        <v>18</v>
      </c>
      <c r="G24" s="14">
        <f>10*LOG10(C24)-10.1</f>
        <v>51.17762686193507</v>
      </c>
    </row>
    <row r="25" spans="2:7" ht="12.75">
      <c r="B25" s="11" t="s">
        <v>17</v>
      </c>
      <c r="C25" s="11">
        <f>C21*G21*G20</f>
        <v>338147.70331968006</v>
      </c>
      <c r="D25" s="11" t="s">
        <v>13</v>
      </c>
      <c r="F25" s="11" t="s">
        <v>18</v>
      </c>
      <c r="G25" s="14">
        <f>10*LOG10(C25)-10.1</f>
        <v>45.19106442067507</v>
      </c>
    </row>
    <row r="26" spans="3:7" ht="12.75">
      <c r="C26" s="11"/>
      <c r="G26" s="14"/>
    </row>
    <row r="27" ht="12.75">
      <c r="B27" s="12" t="s">
        <v>24</v>
      </c>
    </row>
    <row r="28" spans="2:5" ht="12.75">
      <c r="B28" s="11" t="s">
        <v>20</v>
      </c>
      <c r="C28" s="12" t="s">
        <v>25</v>
      </c>
      <c r="D28" s="11" t="s">
        <v>22</v>
      </c>
      <c r="E28" s="12">
        <v>1.5</v>
      </c>
    </row>
    <row r="29" spans="2:3" ht="12.75">
      <c r="B29" s="11" t="s">
        <v>20</v>
      </c>
      <c r="C29" s="12">
        <f>8.78*LOG10((F31*F31+20.25)/76.5)</f>
        <v>-3.665962258376973</v>
      </c>
    </row>
    <row r="30" spans="2:3" ht="12.75">
      <c r="B30" s="11" t="s">
        <v>20</v>
      </c>
      <c r="C30" s="12">
        <f>8.78*LOG10((F32*F32+20.25)/76.5)</f>
        <v>0.36795640514208106</v>
      </c>
    </row>
    <row r="31" spans="2:6" ht="14.25">
      <c r="B31" s="2" t="s">
        <v>46</v>
      </c>
      <c r="C31" s="16">
        <f>G24-C29</f>
        <v>54.84358912031204</v>
      </c>
      <c r="D31" s="2" t="s">
        <v>10</v>
      </c>
      <c r="E31" s="11" t="s">
        <v>23</v>
      </c>
      <c r="F31" s="11">
        <v>3</v>
      </c>
    </row>
    <row r="32" spans="2:6" ht="14.25">
      <c r="B32" s="2" t="s">
        <v>47</v>
      </c>
      <c r="C32" s="16">
        <f>G25-C30</f>
        <v>44.82310801553299</v>
      </c>
      <c r="D32" s="2" t="s">
        <v>13</v>
      </c>
      <c r="E32" s="11" t="s">
        <v>23</v>
      </c>
      <c r="F32" s="2">
        <v>8</v>
      </c>
    </row>
    <row r="33" spans="2:4" ht="12.75">
      <c r="B33" s="2"/>
      <c r="C33" s="16"/>
      <c r="D33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1" customWidth="1"/>
    <col min="3" max="3" width="8.75390625" style="12" customWidth="1"/>
    <col min="4" max="4" width="8.75390625" style="11" customWidth="1"/>
    <col min="5" max="5" width="8.75390625" style="12" customWidth="1"/>
    <col min="6" max="6" width="6.7539062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62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50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10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10"/>
    </row>
    <row r="8" spans="1:6" ht="12.75">
      <c r="A8" s="11"/>
      <c r="B8" s="11" t="s">
        <v>4</v>
      </c>
      <c r="C8" s="11">
        <v>2005</v>
      </c>
      <c r="D8" s="11" t="s">
        <v>48</v>
      </c>
      <c r="E8" s="13" t="s">
        <v>51</v>
      </c>
      <c r="F8" s="17"/>
    </row>
    <row r="9" spans="1:6" ht="15.75">
      <c r="A9" s="11"/>
      <c r="B9" s="11" t="s">
        <v>5</v>
      </c>
      <c r="C9" s="11">
        <v>50</v>
      </c>
      <c r="E9" s="11" t="s">
        <v>26</v>
      </c>
      <c r="F9" s="11">
        <f>(C9/C12*100)</f>
        <v>16.129032258064516</v>
      </c>
    </row>
    <row r="10" spans="1:11" ht="15.75">
      <c r="A10" s="11"/>
      <c r="B10" s="11" t="s">
        <v>6</v>
      </c>
      <c r="C10" s="11">
        <v>250</v>
      </c>
      <c r="E10" s="11" t="s">
        <v>27</v>
      </c>
      <c r="F10" s="11">
        <f>(6.4+(-2.1+0.2*F9))/100</f>
        <v>0.07525806451612904</v>
      </c>
      <c r="H10" s="11" t="s">
        <v>28</v>
      </c>
      <c r="I10" s="13">
        <f>(C10+C11)*F10</f>
        <v>19.56709677419355</v>
      </c>
      <c r="J10" s="11" t="s">
        <v>29</v>
      </c>
      <c r="K10" s="13">
        <f>(C10+C11)-I10</f>
        <v>240.43290322580646</v>
      </c>
    </row>
    <row r="11" spans="1:11" ht="15.75">
      <c r="A11" s="11"/>
      <c r="B11" s="11" t="s">
        <v>7</v>
      </c>
      <c r="C11" s="11">
        <v>10</v>
      </c>
      <c r="E11" s="11" t="s">
        <v>30</v>
      </c>
      <c r="F11" s="11">
        <f>(7.9)/100</f>
        <v>0.079</v>
      </c>
      <c r="H11" s="11" t="s">
        <v>31</v>
      </c>
      <c r="I11" s="13">
        <f>(C9)*F11</f>
        <v>3.95</v>
      </c>
      <c r="J11" s="11" t="s">
        <v>32</v>
      </c>
      <c r="K11" s="13">
        <f>C9-I11</f>
        <v>46.05</v>
      </c>
    </row>
    <row r="12" spans="1:3" ht="12.75">
      <c r="A12" s="11"/>
      <c r="B12" s="11" t="s">
        <v>8</v>
      </c>
      <c r="C12" s="11">
        <v>310</v>
      </c>
    </row>
    <row r="13" spans="2:11" ht="15.75">
      <c r="B13" s="11" t="s">
        <v>9</v>
      </c>
      <c r="C13" s="11">
        <v>90</v>
      </c>
      <c r="D13" s="11">
        <v>75</v>
      </c>
      <c r="H13" s="11" t="s">
        <v>33</v>
      </c>
      <c r="I13" s="13">
        <f>K10/18</f>
        <v>13.357383512544803</v>
      </c>
      <c r="J13" s="11" t="s">
        <v>34</v>
      </c>
      <c r="K13" s="13">
        <f>K11/18</f>
        <v>2.558333333333333</v>
      </c>
    </row>
    <row r="14" spans="3:11" ht="15.75">
      <c r="C14" s="11"/>
      <c r="H14" s="11" t="s">
        <v>35</v>
      </c>
      <c r="I14" s="13">
        <f>I10/6</f>
        <v>3.261182795698925</v>
      </c>
      <c r="J14" s="11" t="s">
        <v>36</v>
      </c>
      <c r="K14" s="13">
        <f>I11/6</f>
        <v>0.6583333333333333</v>
      </c>
    </row>
    <row r="15" ht="12.75">
      <c r="C15" s="11"/>
    </row>
    <row r="16" spans="2:5" ht="15.75">
      <c r="B16" s="11" t="s">
        <v>37</v>
      </c>
      <c r="C16" s="11">
        <v>74.1</v>
      </c>
      <c r="D16" s="11" t="s">
        <v>38</v>
      </c>
      <c r="E16" s="12">
        <v>0.001519</v>
      </c>
    </row>
    <row r="17" spans="2:5" ht="15.75">
      <c r="B17" s="11" t="s">
        <v>39</v>
      </c>
      <c r="C17" s="11">
        <v>80.2</v>
      </c>
      <c r="D17" s="11" t="s">
        <v>40</v>
      </c>
      <c r="E17" s="12">
        <v>0.002122</v>
      </c>
    </row>
    <row r="18" ht="12.75">
      <c r="C18" s="11"/>
    </row>
    <row r="19" ht="12.75">
      <c r="C19" s="11"/>
    </row>
    <row r="20" spans="2:10" ht="15.75">
      <c r="B20" s="11" t="s">
        <v>41</v>
      </c>
      <c r="C20" s="11">
        <f>I13*E16*25703958+K13*E17*104712850</f>
        <v>1089993.22693148</v>
      </c>
      <c r="D20" s="11" t="s">
        <v>10</v>
      </c>
      <c r="F20" s="11" t="s">
        <v>42</v>
      </c>
      <c r="G20" s="12">
        <v>1.21</v>
      </c>
      <c r="H20" s="11" t="s">
        <v>59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I14*E16*25703958+K14*E17*104712850</f>
        <v>273612.74545889336</v>
      </c>
      <c r="D21" s="11" t="s">
        <v>13</v>
      </c>
      <c r="F21" s="11" t="s">
        <v>43</v>
      </c>
      <c r="G21" s="12">
        <v>1.1</v>
      </c>
      <c r="H21" s="11" t="s">
        <v>14</v>
      </c>
      <c r="I21" s="12" t="s">
        <v>15</v>
      </c>
      <c r="J21" s="11" t="s">
        <v>16</v>
      </c>
    </row>
    <row r="22" spans="3:12" ht="12.75">
      <c r="C22" s="11"/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1450780.9850458</v>
      </c>
      <c r="D24" s="11" t="s">
        <v>10</v>
      </c>
      <c r="F24" s="11" t="s">
        <v>18</v>
      </c>
      <c r="G24" s="14">
        <f>10*LOG10(C24)-10.1</f>
        <v>51.51601854777296</v>
      </c>
    </row>
    <row r="25" spans="2:7" ht="12.75">
      <c r="B25" s="11" t="s">
        <v>17</v>
      </c>
      <c r="C25" s="11">
        <f>C21*G21*G20</f>
        <v>364178.5642057871</v>
      </c>
      <c r="D25" s="11" t="s">
        <v>13</v>
      </c>
      <c r="F25" s="11" t="s">
        <v>18</v>
      </c>
      <c r="G25" s="14">
        <f>10*LOG10(C25)-10.1</f>
        <v>45.51314379347103</v>
      </c>
    </row>
    <row r="26" spans="3:7" ht="12.75">
      <c r="C26" s="11"/>
      <c r="G26" s="14"/>
    </row>
    <row r="27" ht="12.75">
      <c r="B27" s="12" t="s">
        <v>24</v>
      </c>
    </row>
    <row r="28" spans="2:5" ht="12.75">
      <c r="B28" s="11" t="s">
        <v>20</v>
      </c>
      <c r="C28" s="12" t="s">
        <v>25</v>
      </c>
      <c r="D28" s="11" t="s">
        <v>22</v>
      </c>
      <c r="E28" s="12">
        <v>1.5</v>
      </c>
    </row>
    <row r="29" spans="2:3" ht="12.75">
      <c r="B29" s="11" t="s">
        <v>20</v>
      </c>
      <c r="C29" s="12">
        <f>8.78*LOG10((F31*F31+20.25)/76.5)</f>
        <v>-2.8478230648851928</v>
      </c>
    </row>
    <row r="30" spans="2:3" ht="12.75">
      <c r="B30" s="11" t="s">
        <v>20</v>
      </c>
      <c r="C30" s="12">
        <f>8.78*LOG10((F32*F32+20.25)/76.5)</f>
        <v>1.0688209793165173</v>
      </c>
    </row>
    <row r="31" spans="2:6" ht="14.25">
      <c r="B31" s="2" t="s">
        <v>46</v>
      </c>
      <c r="C31" s="16">
        <f>G24-C29</f>
        <v>54.36384161265815</v>
      </c>
      <c r="D31" s="2" t="s">
        <v>10</v>
      </c>
      <c r="E31" s="11" t="s">
        <v>23</v>
      </c>
      <c r="F31" s="11">
        <v>4</v>
      </c>
    </row>
    <row r="32" spans="2:6" ht="14.25">
      <c r="B32" s="2" t="s">
        <v>47</v>
      </c>
      <c r="C32" s="16">
        <f>G25-C30</f>
        <v>44.44432281415451</v>
      </c>
      <c r="D32" s="2" t="s">
        <v>13</v>
      </c>
      <c r="E32" s="11" t="s">
        <v>23</v>
      </c>
      <c r="F32" s="2">
        <v>9</v>
      </c>
    </row>
    <row r="33" spans="2:4" ht="12.75">
      <c r="B33" s="2"/>
      <c r="C33" s="16"/>
      <c r="D33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1" customWidth="1"/>
    <col min="3" max="3" width="8.75390625" style="12" customWidth="1"/>
    <col min="4" max="4" width="8.75390625" style="11" customWidth="1"/>
    <col min="5" max="5" width="8.75390625" style="12" customWidth="1"/>
    <col min="6" max="6" width="6.7539062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63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50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10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10"/>
    </row>
    <row r="8" spans="1:6" ht="12.75">
      <c r="A8" s="11"/>
      <c r="B8" s="11" t="s">
        <v>4</v>
      </c>
      <c r="C8" s="11">
        <v>2005</v>
      </c>
      <c r="D8" s="11" t="s">
        <v>48</v>
      </c>
      <c r="E8" s="13" t="s">
        <v>51</v>
      </c>
      <c r="F8" s="17"/>
    </row>
    <row r="9" spans="1:6" ht="15.75">
      <c r="A9" s="11"/>
      <c r="B9" s="11" t="s">
        <v>5</v>
      </c>
      <c r="C9" s="11">
        <v>40</v>
      </c>
      <c r="E9" s="11" t="s">
        <v>26</v>
      </c>
      <c r="F9" s="11">
        <f>(C9/C12*100)</f>
        <v>16.3265306122449</v>
      </c>
    </row>
    <row r="10" spans="1:11" ht="15.75">
      <c r="A10" s="11"/>
      <c r="B10" s="11" t="s">
        <v>6</v>
      </c>
      <c r="C10" s="11">
        <v>200</v>
      </c>
      <c r="E10" s="11" t="s">
        <v>27</v>
      </c>
      <c r="F10" s="11">
        <f>(6.4+(-2.1+0.2*F9))/100</f>
        <v>0.07565306122448981</v>
      </c>
      <c r="H10" s="11" t="s">
        <v>28</v>
      </c>
      <c r="I10" s="13">
        <f>(C10+C11)*F10</f>
        <v>15.508877551020412</v>
      </c>
      <c r="J10" s="11" t="s">
        <v>29</v>
      </c>
      <c r="K10" s="13">
        <f>(C10+C11)-I10</f>
        <v>189.49112244897958</v>
      </c>
    </row>
    <row r="11" spans="1:11" ht="15.75">
      <c r="A11" s="11"/>
      <c r="B11" s="11" t="s">
        <v>7</v>
      </c>
      <c r="C11" s="11">
        <v>5</v>
      </c>
      <c r="E11" s="11" t="s">
        <v>30</v>
      </c>
      <c r="F11" s="11">
        <f>(7.9)/100</f>
        <v>0.079</v>
      </c>
      <c r="H11" s="11" t="s">
        <v>31</v>
      </c>
      <c r="I11" s="13">
        <f>(C9)*F11</f>
        <v>3.16</v>
      </c>
      <c r="J11" s="11" t="s">
        <v>32</v>
      </c>
      <c r="K11" s="13">
        <f>C9-I11</f>
        <v>36.84</v>
      </c>
    </row>
    <row r="12" spans="1:3" ht="12.75">
      <c r="A12" s="11"/>
      <c r="B12" s="11" t="s">
        <v>8</v>
      </c>
      <c r="C12" s="11">
        <v>245</v>
      </c>
    </row>
    <row r="13" spans="2:11" ht="15.75">
      <c r="B13" s="11" t="s">
        <v>9</v>
      </c>
      <c r="C13" s="11">
        <v>90</v>
      </c>
      <c r="D13" s="11">
        <v>75</v>
      </c>
      <c r="H13" s="11" t="s">
        <v>33</v>
      </c>
      <c r="I13" s="13">
        <f>K10/18</f>
        <v>10.527284580498865</v>
      </c>
      <c r="J13" s="11" t="s">
        <v>34</v>
      </c>
      <c r="K13" s="13">
        <f>K11/18</f>
        <v>2.046666666666667</v>
      </c>
    </row>
    <row r="14" spans="3:11" ht="15.75">
      <c r="C14" s="11"/>
      <c r="H14" s="11" t="s">
        <v>35</v>
      </c>
      <c r="I14" s="13">
        <f>I10/6</f>
        <v>2.5848129251700684</v>
      </c>
      <c r="J14" s="11" t="s">
        <v>36</v>
      </c>
      <c r="K14" s="13">
        <f>I11/6</f>
        <v>0.5266666666666667</v>
      </c>
    </row>
    <row r="15" ht="12.75">
      <c r="C15" s="11"/>
    </row>
    <row r="16" spans="2:5" ht="15.75">
      <c r="B16" s="11" t="s">
        <v>37</v>
      </c>
      <c r="C16" s="11">
        <v>74.1</v>
      </c>
      <c r="D16" s="11" t="s">
        <v>38</v>
      </c>
      <c r="E16" s="12">
        <v>0.001519</v>
      </c>
    </row>
    <row r="17" spans="2:5" ht="15.75">
      <c r="B17" s="11" t="s">
        <v>39</v>
      </c>
      <c r="C17" s="11">
        <v>80.2</v>
      </c>
      <c r="D17" s="11" t="s">
        <v>40</v>
      </c>
      <c r="E17" s="12">
        <v>0.002122</v>
      </c>
    </row>
    <row r="18" ht="12.75">
      <c r="C18" s="11"/>
    </row>
    <row r="19" ht="12.75">
      <c r="C19" s="11"/>
    </row>
    <row r="20" spans="2:10" ht="15.75">
      <c r="B20" s="11" t="s">
        <v>41</v>
      </c>
      <c r="C20" s="11">
        <f>I13*E16*25703958+K13*E17*104712850</f>
        <v>865801.2856929651</v>
      </c>
      <c r="D20" s="11" t="s">
        <v>10</v>
      </c>
      <c r="F20" s="11" t="s">
        <v>42</v>
      </c>
      <c r="G20" s="12">
        <v>1.06</v>
      </c>
      <c r="H20" s="11" t="s">
        <v>57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I14*E16*25703958+K14*E17*104712850</f>
        <v>217947.92782277172</v>
      </c>
      <c r="D21" s="11" t="s">
        <v>13</v>
      </c>
      <c r="F21" s="11" t="s">
        <v>43</v>
      </c>
      <c r="G21" s="12">
        <v>1.1</v>
      </c>
      <c r="H21" s="11" t="s">
        <v>14</v>
      </c>
      <c r="I21" s="12" t="s">
        <v>15</v>
      </c>
      <c r="J21" s="11" t="s">
        <v>16</v>
      </c>
    </row>
    <row r="22" spans="3:12" ht="12.75">
      <c r="C22" s="11"/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1009524.2991179975</v>
      </c>
      <c r="D24" s="11" t="s">
        <v>10</v>
      </c>
      <c r="F24" s="11" t="s">
        <v>18</v>
      </c>
      <c r="G24" s="14">
        <f>10*LOG10(C24)-10.1</f>
        <v>49.9411677681691</v>
      </c>
    </row>
    <row r="25" spans="2:7" ht="12.75">
      <c r="B25" s="11" t="s">
        <v>17</v>
      </c>
      <c r="C25" s="11">
        <f>C21*G21*G20</f>
        <v>254127.28384135186</v>
      </c>
      <c r="D25" s="11" t="s">
        <v>13</v>
      </c>
      <c r="F25" s="11" t="s">
        <v>18</v>
      </c>
      <c r="G25" s="14">
        <f>10*LOG10(C25)-10.1</f>
        <v>43.950512946672056</v>
      </c>
    </row>
    <row r="26" spans="3:7" ht="12.75">
      <c r="C26" s="11"/>
      <c r="G26" s="14"/>
    </row>
    <row r="27" ht="12.75">
      <c r="B27" s="12" t="s">
        <v>24</v>
      </c>
    </row>
    <row r="28" spans="2:5" ht="12.75">
      <c r="B28" s="11" t="s">
        <v>20</v>
      </c>
      <c r="C28" s="12" t="s">
        <v>25</v>
      </c>
      <c r="D28" s="11" t="s">
        <v>22</v>
      </c>
      <c r="E28" s="12">
        <v>1.5</v>
      </c>
    </row>
    <row r="29" spans="2:3" ht="12.75">
      <c r="B29" s="11" t="s">
        <v>20</v>
      </c>
      <c r="C29" s="12">
        <f>8.78*LOG10((F31*F31+20.25)/76.5)</f>
        <v>-4.8843359567367814</v>
      </c>
    </row>
    <row r="30" spans="2:3" ht="12.75">
      <c r="B30" s="11" t="s">
        <v>20</v>
      </c>
      <c r="C30" s="12">
        <f>8.78*LOG10((F32*F32+20.25)/76.5)</f>
        <v>-0.37966175212241404</v>
      </c>
    </row>
    <row r="31" spans="2:6" ht="14.25">
      <c r="B31" s="2" t="s">
        <v>46</v>
      </c>
      <c r="C31" s="16">
        <f>G24-C29</f>
        <v>54.825503724905886</v>
      </c>
      <c r="D31" s="2" t="s">
        <v>10</v>
      </c>
      <c r="E31" s="11" t="s">
        <v>23</v>
      </c>
      <c r="F31" s="11">
        <v>1</v>
      </c>
    </row>
    <row r="32" spans="2:6" ht="14.25">
      <c r="B32" s="2" t="s">
        <v>47</v>
      </c>
      <c r="C32" s="16">
        <f>G25-C30</f>
        <v>44.33017469879447</v>
      </c>
      <c r="D32" s="2" t="s">
        <v>13</v>
      </c>
      <c r="E32" s="11" t="s">
        <v>23</v>
      </c>
      <c r="F32" s="2">
        <v>7</v>
      </c>
    </row>
    <row r="33" spans="2:4" ht="12.75">
      <c r="B33" s="2"/>
      <c r="C33" s="16"/>
      <c r="D33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5" sqref="A5:J6"/>
    </sheetView>
  </sheetViews>
  <sheetFormatPr defaultColWidth="9.00390625" defaultRowHeight="12.75"/>
  <cols>
    <col min="1" max="1" width="8.75390625" style="0" customWidth="1"/>
    <col min="2" max="2" width="8.75390625" style="11" customWidth="1"/>
    <col min="3" max="3" width="8.75390625" style="12" customWidth="1"/>
    <col min="4" max="4" width="8.75390625" style="11" customWidth="1"/>
    <col min="5" max="5" width="8.75390625" style="12" customWidth="1"/>
    <col min="6" max="6" width="6.7539062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61</v>
      </c>
      <c r="B1" s="2"/>
      <c r="C1" s="3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3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7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50</v>
      </c>
      <c r="B4" s="6"/>
      <c r="C4" s="7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7"/>
      <c r="D5" s="6"/>
      <c r="E5" s="7"/>
      <c r="F5" s="6"/>
      <c r="G5" s="7"/>
      <c r="H5" s="6"/>
      <c r="I5" s="8"/>
      <c r="J5" s="6"/>
      <c r="K5" s="10"/>
    </row>
    <row r="6" spans="1:11" s="5" customFormat="1" ht="12.75">
      <c r="A6" s="5" t="s">
        <v>3</v>
      </c>
      <c r="B6" s="6"/>
      <c r="C6" s="7"/>
      <c r="D6" s="6"/>
      <c r="E6" s="7"/>
      <c r="F6" s="6"/>
      <c r="G6" s="7"/>
      <c r="H6" s="6"/>
      <c r="I6" s="8"/>
      <c r="J6" s="6"/>
      <c r="K6" s="10"/>
    </row>
    <row r="8" spans="1:6" ht="12.75">
      <c r="A8" s="11"/>
      <c r="B8" s="11" t="s">
        <v>4</v>
      </c>
      <c r="C8" s="11">
        <v>2025</v>
      </c>
      <c r="F8" s="17"/>
    </row>
    <row r="9" spans="1:6" ht="15.75">
      <c r="A9" s="11"/>
      <c r="B9" s="11" t="s">
        <v>5</v>
      </c>
      <c r="C9" s="11">
        <v>75</v>
      </c>
      <c r="E9" s="11" t="s">
        <v>26</v>
      </c>
      <c r="F9" s="11">
        <f>(C9/C12*100)</f>
        <v>18.51851851851852</v>
      </c>
    </row>
    <row r="10" spans="1:11" ht="15.75">
      <c r="A10" s="11"/>
      <c r="B10" s="11" t="s">
        <v>6</v>
      </c>
      <c r="C10" s="11">
        <v>320</v>
      </c>
      <c r="E10" s="11" t="s">
        <v>27</v>
      </c>
      <c r="F10" s="11">
        <f>(6.4+(-2.1+0.2*F9))/100</f>
        <v>0.08003703703703705</v>
      </c>
      <c r="H10" s="11" t="s">
        <v>28</v>
      </c>
      <c r="I10" s="13">
        <f>(C10+C11)*F10</f>
        <v>26.412222222222226</v>
      </c>
      <c r="J10" s="11" t="s">
        <v>29</v>
      </c>
      <c r="K10" s="13">
        <f>(C10+C11)-I10</f>
        <v>303.5877777777778</v>
      </c>
    </row>
    <row r="11" spans="1:11" ht="15.75">
      <c r="A11" s="11"/>
      <c r="B11" s="11" t="s">
        <v>7</v>
      </c>
      <c r="C11" s="11">
        <v>10</v>
      </c>
      <c r="E11" s="11" t="s">
        <v>30</v>
      </c>
      <c r="F11" s="11">
        <f>(7.9)/100</f>
        <v>0.079</v>
      </c>
      <c r="H11" s="11" t="s">
        <v>31</v>
      </c>
      <c r="I11" s="13">
        <f>(C9)*F11</f>
        <v>5.925</v>
      </c>
      <c r="J11" s="11" t="s">
        <v>32</v>
      </c>
      <c r="K11" s="13">
        <f>C9-I11</f>
        <v>69.075</v>
      </c>
    </row>
    <row r="12" spans="1:3" ht="12.75">
      <c r="A12" s="11"/>
      <c r="B12" s="11" t="s">
        <v>8</v>
      </c>
      <c r="C12" s="11">
        <v>405</v>
      </c>
    </row>
    <row r="13" spans="2:11" ht="15.75">
      <c r="B13" s="11" t="s">
        <v>9</v>
      </c>
      <c r="C13" s="11">
        <v>90</v>
      </c>
      <c r="D13" s="11">
        <v>75</v>
      </c>
      <c r="H13" s="11" t="s">
        <v>33</v>
      </c>
      <c r="I13" s="13">
        <f>K10/18</f>
        <v>16.86598765432099</v>
      </c>
      <c r="J13" s="11" t="s">
        <v>34</v>
      </c>
      <c r="K13" s="13">
        <f>K11/18</f>
        <v>3.8375000000000004</v>
      </c>
    </row>
    <row r="14" spans="3:11" ht="15.75">
      <c r="C14" s="11"/>
      <c r="H14" s="11" t="s">
        <v>35</v>
      </c>
      <c r="I14" s="13">
        <f>I10/6</f>
        <v>4.402037037037037</v>
      </c>
      <c r="J14" s="11" t="s">
        <v>36</v>
      </c>
      <c r="K14" s="13">
        <f>I11/6</f>
        <v>0.9874999999999999</v>
      </c>
    </row>
    <row r="15" ht="12.75">
      <c r="C15" s="11"/>
    </row>
    <row r="16" spans="2:5" ht="15.75">
      <c r="B16" s="11" t="s">
        <v>37</v>
      </c>
      <c r="C16" s="11">
        <v>74.1</v>
      </c>
      <c r="D16" s="11" t="s">
        <v>38</v>
      </c>
      <c r="E16" s="12">
        <v>0.001519</v>
      </c>
    </row>
    <row r="17" spans="2:5" ht="15.75">
      <c r="B17" s="11" t="s">
        <v>39</v>
      </c>
      <c r="C17" s="11">
        <v>80.2</v>
      </c>
      <c r="D17" s="11" t="s">
        <v>40</v>
      </c>
      <c r="E17" s="12">
        <v>0.002122</v>
      </c>
    </row>
    <row r="18" ht="12.75">
      <c r="C18" s="11"/>
    </row>
    <row r="19" ht="12.75">
      <c r="C19" s="11"/>
    </row>
    <row r="20" spans="2:10" ht="15.75">
      <c r="B20" s="11" t="s">
        <v>41</v>
      </c>
      <c r="C20" s="11">
        <f>I13*E16*25703958+K13*E17*104712850</f>
        <v>1511215.9498691363</v>
      </c>
      <c r="D20" s="11" t="s">
        <v>10</v>
      </c>
      <c r="F20" s="11" t="s">
        <v>42</v>
      </c>
      <c r="G20" s="12">
        <v>1.13</v>
      </c>
      <c r="H20" s="11" t="s">
        <v>52</v>
      </c>
      <c r="I20" s="12" t="s">
        <v>11</v>
      </c>
      <c r="J20" s="11" t="s">
        <v>12</v>
      </c>
    </row>
    <row r="21" spans="2:10" ht="15.75">
      <c r="B21" s="11" t="s">
        <v>41</v>
      </c>
      <c r="C21" s="11">
        <f>I14*E16*25703958+K14*E17*104712850</f>
        <v>391297.6677525911</v>
      </c>
      <c r="D21" s="11" t="s">
        <v>13</v>
      </c>
      <c r="F21" s="11" t="s">
        <v>43</v>
      </c>
      <c r="G21" s="12">
        <v>1.1</v>
      </c>
      <c r="H21" s="11" t="s">
        <v>14</v>
      </c>
      <c r="I21" s="12" t="s">
        <v>15</v>
      </c>
      <c r="J21" s="11" t="s">
        <v>16</v>
      </c>
    </row>
    <row r="22" spans="3:12" ht="12.75">
      <c r="C22" s="11"/>
      <c r="L22" s="11"/>
    </row>
    <row r="23" spans="2:3" ht="15.75">
      <c r="B23" s="11" t="s">
        <v>17</v>
      </c>
      <c r="C23" s="11" t="s">
        <v>44</v>
      </c>
    </row>
    <row r="24" spans="2:7" ht="12.75">
      <c r="B24" s="11" t="s">
        <v>17</v>
      </c>
      <c r="C24" s="11">
        <f>C20*G20*G21</f>
        <v>1878441.4256873364</v>
      </c>
      <c r="D24" s="11" t="s">
        <v>10</v>
      </c>
      <c r="F24" s="11" t="s">
        <v>18</v>
      </c>
      <c r="G24" s="14">
        <f>10*LOG10(C24)-10.1</f>
        <v>52.637976572661145</v>
      </c>
    </row>
    <row r="25" spans="2:7" ht="12.75">
      <c r="B25" s="11" t="s">
        <v>17</v>
      </c>
      <c r="C25" s="11">
        <f>C21*G21*G20</f>
        <v>486383.0010164707</v>
      </c>
      <c r="D25" s="11" t="s">
        <v>13</v>
      </c>
      <c r="F25" s="11" t="s">
        <v>18</v>
      </c>
      <c r="G25" s="14">
        <f>10*LOG10(C25)-10.1</f>
        <v>46.76978388029167</v>
      </c>
    </row>
    <row r="26" spans="3:7" ht="12.75">
      <c r="C26" s="11"/>
      <c r="G26" s="14"/>
    </row>
    <row r="27" ht="12.75">
      <c r="B27" s="12" t="s">
        <v>24</v>
      </c>
    </row>
    <row r="28" spans="2:5" ht="12.75">
      <c r="B28" s="11" t="s">
        <v>20</v>
      </c>
      <c r="C28" s="12" t="s">
        <v>25</v>
      </c>
      <c r="D28" s="11" t="s">
        <v>22</v>
      </c>
      <c r="E28" s="12">
        <v>1.5</v>
      </c>
    </row>
    <row r="29" spans="2:3" ht="12.75">
      <c r="B29" s="11" t="s">
        <v>20</v>
      </c>
      <c r="C29" s="12">
        <f>8.78*LOG10((F31*F31+20.25)/76.5)</f>
        <v>-2.002216237156832</v>
      </c>
    </row>
    <row r="30" spans="2:3" ht="12.75">
      <c r="B30" s="11" t="s">
        <v>20</v>
      </c>
      <c r="C30" s="12">
        <f>8.78*LOG10((F32*F32+20.25)/76.5)</f>
        <v>2.338351247346398</v>
      </c>
    </row>
    <row r="31" spans="2:6" ht="14.25">
      <c r="B31" s="2" t="s">
        <v>46</v>
      </c>
      <c r="C31" s="16">
        <f>G24-C29</f>
        <v>54.640192809817975</v>
      </c>
      <c r="D31" s="2" t="s">
        <v>10</v>
      </c>
      <c r="E31" s="11" t="s">
        <v>23</v>
      </c>
      <c r="F31" s="11">
        <v>5</v>
      </c>
    </row>
    <row r="32" spans="2:6" ht="14.25">
      <c r="B32" s="2" t="s">
        <v>47</v>
      </c>
      <c r="C32" s="16">
        <f>G25-C30</f>
        <v>44.431432632945274</v>
      </c>
      <c r="D32" s="2" t="s">
        <v>13</v>
      </c>
      <c r="E32" s="11" t="s">
        <v>23</v>
      </c>
      <c r="F32" s="2">
        <v>11</v>
      </c>
    </row>
    <row r="33" spans="2:4" ht="12.75">
      <c r="B33" s="2"/>
      <c r="C33" s="16"/>
      <c r="D33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Uxa</dc:creator>
  <cp:keywords/>
  <dc:description/>
  <cp:lastModifiedBy>Ing. arch. Ladislav Brožek</cp:lastModifiedBy>
  <cp:lastPrinted>2011-01-10T00:11:09Z</cp:lastPrinted>
  <dcterms:created xsi:type="dcterms:W3CDTF">2008-11-16T12:16:15Z</dcterms:created>
  <dcterms:modified xsi:type="dcterms:W3CDTF">2011-01-10T00:11:12Z</dcterms:modified>
  <cp:category/>
  <cp:version/>
  <cp:contentType/>
  <cp:contentStatus/>
</cp:coreProperties>
</file>