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12120" tabRatio="677" activeTab="9"/>
  </bookViews>
  <sheets>
    <sheet name="152Z" sheetId="1" r:id="rId1"/>
    <sheet name="152Z IZ05" sheetId="2" r:id="rId2"/>
    <sheet name="152 V IZ05" sheetId="3" r:id="rId3"/>
    <sheet name="152 V IZ25" sheetId="4" r:id="rId4"/>
    <sheet name="152Z IZ25 " sheetId="5" r:id="rId5"/>
    <sheet name="15222" sheetId="6" r:id="rId6"/>
    <sheet name="15222 iZ05" sheetId="7" r:id="rId7"/>
    <sheet name="15222 IZ25" sheetId="8" r:id="rId8"/>
    <sheet name="4112 iZ05 " sheetId="9" r:id="rId9"/>
    <sheet name="4112 IZ25 " sheetId="10" r:id="rId10"/>
  </sheets>
  <definedNames/>
  <calcPr fullCalcOnLoad="1"/>
</workbook>
</file>

<file path=xl/sharedStrings.xml><?xml version="1.0" encoding="utf-8"?>
<sst xmlns="http://schemas.openxmlformats.org/spreadsheetml/2006/main" count="585" uniqueCount="62">
  <si>
    <t xml:space="preserve">Výpočet byl zpracován dle novelizované metodiky pro výpočet hluku ze silniční dopravy, </t>
  </si>
  <si>
    <t>zpracované RNDr. Milošem Liberkem a kolektivem- Praha, 2004</t>
  </si>
  <si>
    <t>s ohledem na informativní charakter výpočtu a zobecněná vstupní data nejsou dále uvažovány</t>
  </si>
  <si>
    <t>podrobnější korekce ve smyslu metodiky</t>
  </si>
  <si>
    <t>rok</t>
  </si>
  <si>
    <t>odhad</t>
  </si>
  <si>
    <t>T</t>
  </si>
  <si>
    <r>
      <t>P</t>
    </r>
    <r>
      <rPr>
        <vertAlign val="subscript"/>
        <sz val="10"/>
        <rFont val="Arial CE"/>
        <family val="2"/>
      </rPr>
      <t>NA</t>
    </r>
  </si>
  <si>
    <t>O</t>
  </si>
  <si>
    <r>
      <t xml:space="preserve">PO </t>
    </r>
    <r>
      <rPr>
        <vertAlign val="subscript"/>
        <sz val="10"/>
        <rFont val="Arial CE"/>
        <family val="2"/>
      </rPr>
      <t>noc</t>
    </r>
  </si>
  <si>
    <r>
      <t xml:space="preserve">IO </t>
    </r>
    <r>
      <rPr>
        <vertAlign val="subscript"/>
        <sz val="10"/>
        <rFont val="Arial CE"/>
        <family val="2"/>
      </rPr>
      <t>noc</t>
    </r>
  </si>
  <si>
    <r>
      <t>IO</t>
    </r>
    <r>
      <rPr>
        <vertAlign val="subscript"/>
        <sz val="10"/>
        <rFont val="Arial CE"/>
        <family val="2"/>
      </rPr>
      <t>den</t>
    </r>
  </si>
  <si>
    <t>M</t>
  </si>
  <si>
    <r>
      <t xml:space="preserve">PN </t>
    </r>
    <r>
      <rPr>
        <vertAlign val="subscript"/>
        <sz val="10"/>
        <rFont val="Arial CE"/>
        <family val="2"/>
      </rPr>
      <t>noc</t>
    </r>
  </si>
  <si>
    <r>
      <t xml:space="preserve">IN </t>
    </r>
    <r>
      <rPr>
        <vertAlign val="subscript"/>
        <sz val="10"/>
        <rFont val="Arial CE"/>
        <family val="2"/>
      </rPr>
      <t>noc</t>
    </r>
  </si>
  <si>
    <r>
      <t>IN</t>
    </r>
    <r>
      <rPr>
        <vertAlign val="subscript"/>
        <sz val="10"/>
        <rFont val="Arial CE"/>
        <family val="2"/>
      </rPr>
      <t>den</t>
    </r>
  </si>
  <si>
    <t>S</t>
  </si>
  <si>
    <t>v (km/h)</t>
  </si>
  <si>
    <r>
      <t>n</t>
    </r>
    <r>
      <rPr>
        <vertAlign val="subscript"/>
        <sz val="10"/>
        <rFont val="Arial CE"/>
        <family val="2"/>
      </rPr>
      <t>OAd</t>
    </r>
  </si>
  <si>
    <r>
      <t>n</t>
    </r>
    <r>
      <rPr>
        <vertAlign val="subscript"/>
        <sz val="10"/>
        <rFont val="Arial CE"/>
        <family val="2"/>
      </rPr>
      <t>NAd</t>
    </r>
  </si>
  <si>
    <r>
      <t>n</t>
    </r>
    <r>
      <rPr>
        <vertAlign val="subscript"/>
        <sz val="10"/>
        <rFont val="Arial CE"/>
        <family val="2"/>
      </rPr>
      <t>OAn</t>
    </r>
  </si>
  <si>
    <r>
      <t>n</t>
    </r>
    <r>
      <rPr>
        <vertAlign val="subscript"/>
        <sz val="10"/>
        <rFont val="Arial CE"/>
        <family val="2"/>
      </rPr>
      <t>NAn</t>
    </r>
  </si>
  <si>
    <r>
      <t>L</t>
    </r>
    <r>
      <rPr>
        <vertAlign val="subscript"/>
        <sz val="10"/>
        <rFont val="Arial CE"/>
        <family val="2"/>
      </rPr>
      <t>OA</t>
    </r>
  </si>
  <si>
    <r>
      <t>F</t>
    </r>
    <r>
      <rPr>
        <vertAlign val="subscript"/>
        <sz val="10"/>
        <rFont val="Arial CE"/>
        <family val="2"/>
      </rPr>
      <t>vOA</t>
    </r>
  </si>
  <si>
    <r>
      <t>L</t>
    </r>
    <r>
      <rPr>
        <vertAlign val="subscript"/>
        <sz val="10"/>
        <rFont val="Arial CE"/>
        <family val="2"/>
      </rPr>
      <t>NA</t>
    </r>
  </si>
  <si>
    <r>
      <t>F</t>
    </r>
    <r>
      <rPr>
        <vertAlign val="subscript"/>
        <sz val="10"/>
        <rFont val="Arial CE"/>
        <family val="2"/>
      </rPr>
      <t>vNA</t>
    </r>
  </si>
  <si>
    <r>
      <t>F</t>
    </r>
    <r>
      <rPr>
        <vertAlign val="subscript"/>
        <sz val="10"/>
        <rFont val="Arial CE"/>
        <family val="2"/>
      </rPr>
      <t>1</t>
    </r>
  </si>
  <si>
    <t>den</t>
  </si>
  <si>
    <r>
      <t>F</t>
    </r>
    <r>
      <rPr>
        <vertAlign val="subscript"/>
        <sz val="10"/>
        <rFont val="Arial CE"/>
        <family val="2"/>
      </rPr>
      <t>2</t>
    </r>
  </si>
  <si>
    <t>2-3%</t>
  </si>
  <si>
    <t>sklon</t>
  </si>
  <si>
    <t>nivelety</t>
  </si>
  <si>
    <t>noc</t>
  </si>
  <si>
    <r>
      <t>F</t>
    </r>
    <r>
      <rPr>
        <vertAlign val="subscript"/>
        <sz val="10"/>
        <rFont val="Arial CE"/>
        <family val="2"/>
      </rPr>
      <t>3</t>
    </r>
  </si>
  <si>
    <t xml:space="preserve">AB </t>
  </si>
  <si>
    <t>obrusná</t>
  </si>
  <si>
    <t>vrstva</t>
  </si>
  <si>
    <t>X</t>
  </si>
  <si>
    <r>
      <t>F</t>
    </r>
    <r>
      <rPr>
        <vertAlign val="subscript"/>
        <sz val="10"/>
        <rFont val="Arial CE"/>
        <family val="2"/>
      </rPr>
      <t>1</t>
    </r>
    <r>
      <rPr>
        <sz val="10"/>
        <rFont val="Arial CE"/>
        <family val="2"/>
      </rPr>
      <t>xF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>xF</t>
    </r>
    <r>
      <rPr>
        <vertAlign val="subscript"/>
        <sz val="10"/>
        <rFont val="Arial CE"/>
        <family val="2"/>
      </rPr>
      <t>3</t>
    </r>
  </si>
  <si>
    <t>Y</t>
  </si>
  <si>
    <t>korekce vzdálenosti 15 m</t>
  </si>
  <si>
    <t xml:space="preserve">U </t>
  </si>
  <si>
    <t>odrazivý t.</t>
  </si>
  <si>
    <t>H(m)</t>
  </si>
  <si>
    <t>d(m)</t>
  </si>
  <si>
    <r>
      <t>I</t>
    </r>
    <r>
      <rPr>
        <b/>
        <vertAlign val="subscript"/>
        <sz val="10"/>
        <rFont val="Arial CE"/>
        <family val="2"/>
      </rPr>
      <t xml:space="preserve"> </t>
    </r>
    <r>
      <rPr>
        <b/>
        <sz val="10"/>
        <rFont val="Arial CE"/>
        <family val="2"/>
      </rPr>
      <t>dB(A)</t>
    </r>
  </si>
  <si>
    <t>zpracované IRNDr. Milošem Liberkem a kolektivem- Praha, 2004</t>
  </si>
  <si>
    <t>výpočet izofony</t>
  </si>
  <si>
    <t>pohltivý t.</t>
  </si>
  <si>
    <r>
      <t>I</t>
    </r>
    <r>
      <rPr>
        <b/>
        <vertAlign val="subscript"/>
        <sz val="10"/>
        <rFont val="Arial CE"/>
        <family val="2"/>
      </rPr>
      <t xml:space="preserve">55 </t>
    </r>
    <r>
      <rPr>
        <b/>
        <sz val="10"/>
        <rFont val="Arial CE"/>
        <family val="2"/>
      </rPr>
      <t>dB(A)</t>
    </r>
  </si>
  <si>
    <r>
      <t>I</t>
    </r>
    <r>
      <rPr>
        <b/>
        <vertAlign val="subscript"/>
        <sz val="10"/>
        <rFont val="Arial CE"/>
        <family val="2"/>
      </rPr>
      <t xml:space="preserve">45 </t>
    </r>
    <r>
      <rPr>
        <b/>
        <sz val="10"/>
        <rFont val="Arial CE"/>
        <family val="2"/>
      </rPr>
      <t>dB(A)</t>
    </r>
  </si>
  <si>
    <t>3-4%</t>
  </si>
  <si>
    <t>Výpočet hlukové hladiny silnice II/152 v průtahu obce Dědice</t>
  </si>
  <si>
    <t>Výpočet izofony -hlukové hladiny silnice II/152  v katastru obce DědiceZ 2005</t>
  </si>
  <si>
    <t>Výpočet izofony -hlukové hladiny silnice II/152  v katastru obce Dědice V 2005</t>
  </si>
  <si>
    <t>Výpočet izofony -hlukové hladiny silnice II/152  v katastru obce Dědice V 2025</t>
  </si>
  <si>
    <t>Výpočet izofony -hlukové hladiny silnice II/152  v katastru obce Dědice Z 2025</t>
  </si>
  <si>
    <t>Výpočet hlukové hladiny silnice III/15222v průtahu obce Dědice</t>
  </si>
  <si>
    <t>Výpočet izofony -hlukové hladiny silnice III/15222 v katastru obce Dědice 2025</t>
  </si>
  <si>
    <t>Výpočet izofony -hlukové hladiny silnice III/15222 v katastru obce Dědice 2005</t>
  </si>
  <si>
    <t>Výpočet izofony -hlukové hladiny silnice III/4112 v katastru obce Dědice 2005</t>
  </si>
  <si>
    <t>Výpočet izofony -hlukové hladiny silnice III/4112 v katastru obce Dědice 2025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</si>
</sst>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3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vertAlign val="subscript"/>
      <sz val="10"/>
      <name val="Arial CE"/>
      <family val="2"/>
    </font>
    <font>
      <b/>
      <vertAlign val="subscript"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5" sqref="A5:I6"/>
    </sheetView>
  </sheetViews>
  <sheetFormatPr defaultColWidth="9.00390625" defaultRowHeight="12.75"/>
  <cols>
    <col min="1" max="1" width="8.75390625" style="0" customWidth="1"/>
    <col min="2" max="4" width="8.75390625" style="11" customWidth="1"/>
    <col min="5" max="5" width="8.75390625" style="12" customWidth="1"/>
    <col min="6" max="6" width="8.875" style="11" customWidth="1"/>
    <col min="7" max="7" width="6.75390625" style="12" customWidth="1"/>
    <col min="8" max="8" width="6.75390625" style="11" customWidth="1"/>
    <col min="9" max="9" width="7.25390625" style="13" customWidth="1"/>
    <col min="10" max="10" width="6.75390625" style="11" customWidth="1"/>
    <col min="11" max="11" width="6.75390625" style="13" customWidth="1"/>
  </cols>
  <sheetData>
    <row r="1" spans="1:11" s="1" customFormat="1" ht="12.75">
      <c r="A1" s="1" t="s">
        <v>52</v>
      </c>
      <c r="B1" s="2"/>
      <c r="C1" s="2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2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6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1</v>
      </c>
      <c r="B4" s="6"/>
      <c r="C4" s="6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6"/>
      <c r="D5" s="6"/>
      <c r="E5" s="7"/>
      <c r="F5" s="6"/>
      <c r="G5" s="7"/>
      <c r="H5" s="6"/>
      <c r="I5" s="8"/>
      <c r="J5" s="9"/>
      <c r="K5" s="10"/>
    </row>
    <row r="6" spans="1:11" s="5" customFormat="1" ht="12.75">
      <c r="A6" s="5" t="s">
        <v>3</v>
      </c>
      <c r="B6" s="6"/>
      <c r="C6" s="6"/>
      <c r="D6" s="6"/>
      <c r="E6" s="7"/>
      <c r="F6" s="6"/>
      <c r="G6" s="7"/>
      <c r="H6" s="6"/>
      <c r="I6" s="8"/>
      <c r="J6" s="9"/>
      <c r="K6" s="10"/>
    </row>
    <row r="8" spans="2:4" ht="12.75">
      <c r="B8" s="11" t="s">
        <v>4</v>
      </c>
      <c r="C8" s="11">
        <v>2005</v>
      </c>
      <c r="D8" s="17">
        <v>65650</v>
      </c>
    </row>
    <row r="9" spans="2:6" ht="15.75">
      <c r="B9" s="11" t="s">
        <v>6</v>
      </c>
      <c r="C9" s="11">
        <v>563</v>
      </c>
      <c r="E9" s="11" t="s">
        <v>7</v>
      </c>
      <c r="F9" s="11">
        <f>(C9/C12*100)</f>
        <v>23.86604493429419</v>
      </c>
    </row>
    <row r="10" spans="2:11" ht="15.75">
      <c r="B10" s="11" t="s">
        <v>8</v>
      </c>
      <c r="C10" s="11">
        <v>1783</v>
      </c>
      <c r="E10" s="11" t="s">
        <v>9</v>
      </c>
      <c r="F10" s="11">
        <f>(6.4+(-2.1+0.2*F9))/100</f>
        <v>0.0907320898685884</v>
      </c>
      <c r="H10" s="11" t="s">
        <v>10</v>
      </c>
      <c r="I10" s="13">
        <f>(C10+C11)*F10</f>
        <v>162.95483340398476</v>
      </c>
      <c r="J10" s="11" t="s">
        <v>11</v>
      </c>
      <c r="K10" s="13">
        <f>(C10+C11)-I10</f>
        <v>1633.0451665960152</v>
      </c>
    </row>
    <row r="11" spans="2:11" ht="15.75">
      <c r="B11" s="11" t="s">
        <v>12</v>
      </c>
      <c r="C11" s="11">
        <v>13</v>
      </c>
      <c r="E11" s="11" t="s">
        <v>13</v>
      </c>
      <c r="F11" s="11">
        <f>(7.9)/100</f>
        <v>0.079</v>
      </c>
      <c r="H11" s="11" t="s">
        <v>14</v>
      </c>
      <c r="I11" s="13">
        <f>(C9)*F11</f>
        <v>44.477000000000004</v>
      </c>
      <c r="J11" s="11" t="s">
        <v>15</v>
      </c>
      <c r="K11" s="13">
        <f>C9-I11</f>
        <v>518.523</v>
      </c>
    </row>
    <row r="12" spans="2:3" ht="12.75">
      <c r="B12" s="11" t="s">
        <v>16</v>
      </c>
      <c r="C12" s="11">
        <f>SUM(C9:C11)</f>
        <v>2359</v>
      </c>
    </row>
    <row r="13" spans="2:11" ht="15.75">
      <c r="B13" s="11" t="s">
        <v>17</v>
      </c>
      <c r="C13" s="11">
        <v>50</v>
      </c>
      <c r="D13" s="11">
        <v>45</v>
      </c>
      <c r="H13" s="11" t="s">
        <v>18</v>
      </c>
      <c r="I13" s="13">
        <f>K10/18</f>
        <v>90.7247314775564</v>
      </c>
      <c r="J13" s="11" t="s">
        <v>19</v>
      </c>
      <c r="K13" s="13">
        <f>K11/18</f>
        <v>28.806833333333334</v>
      </c>
    </row>
    <row r="14" spans="8:11" ht="15.75">
      <c r="H14" s="11" t="s">
        <v>20</v>
      </c>
      <c r="I14" s="13">
        <f>I10/6</f>
        <v>27.15913890066413</v>
      </c>
      <c r="J14" s="11" t="s">
        <v>21</v>
      </c>
      <c r="K14" s="13">
        <f>I11/6</f>
        <v>7.412833333333334</v>
      </c>
    </row>
    <row r="15" ht="12.75">
      <c r="T15" s="18"/>
    </row>
    <row r="16" spans="2:5" ht="15.75">
      <c r="B16" s="11" t="s">
        <v>22</v>
      </c>
      <c r="C16" s="11">
        <v>75.6</v>
      </c>
      <c r="D16" s="11" t="s">
        <v>23</v>
      </c>
      <c r="E16" s="12">
        <v>0.0007545</v>
      </c>
    </row>
    <row r="17" spans="2:5" ht="15.75">
      <c r="B17" s="11" t="s">
        <v>24</v>
      </c>
      <c r="C17" s="11">
        <v>82.4</v>
      </c>
      <c r="D17" s="11" t="s">
        <v>25</v>
      </c>
      <c r="E17" s="12">
        <v>0.002236</v>
      </c>
    </row>
    <row r="20" spans="2:10" ht="15.75">
      <c r="B20" s="11" t="s">
        <v>26</v>
      </c>
      <c r="C20" s="11">
        <f>I13*E16*36307805+K13*E17*173780080</f>
        <v>13678871.265252616</v>
      </c>
      <c r="D20" s="11" t="s">
        <v>27</v>
      </c>
      <c r="F20" s="11" t="s">
        <v>28</v>
      </c>
      <c r="G20" s="12">
        <v>1.21</v>
      </c>
      <c r="H20" s="11" t="s">
        <v>51</v>
      </c>
      <c r="I20" s="12" t="s">
        <v>30</v>
      </c>
      <c r="J20" s="11" t="s">
        <v>31</v>
      </c>
    </row>
    <row r="21" spans="2:10" ht="15.75">
      <c r="B21" s="11" t="s">
        <v>26</v>
      </c>
      <c r="C21" s="11">
        <f>I14*E16*30602954+K14*E17*138038430</f>
        <v>2915102.7202091916</v>
      </c>
      <c r="D21" s="11" t="s">
        <v>32</v>
      </c>
      <c r="F21" s="11" t="s">
        <v>33</v>
      </c>
      <c r="G21" s="19">
        <v>1</v>
      </c>
      <c r="H21" s="11" t="s">
        <v>34</v>
      </c>
      <c r="I21" s="12" t="s">
        <v>35</v>
      </c>
      <c r="J21" s="11" t="s">
        <v>36</v>
      </c>
    </row>
    <row r="22" ht="12.75">
      <c r="L22" s="11"/>
    </row>
    <row r="23" spans="2:3" ht="15.75">
      <c r="B23" s="11" t="s">
        <v>37</v>
      </c>
      <c r="C23" s="11" t="s">
        <v>38</v>
      </c>
    </row>
    <row r="24" spans="2:7" ht="12.75">
      <c r="B24" s="11" t="s">
        <v>37</v>
      </c>
      <c r="C24" s="11">
        <f>C20*G20*G21</f>
        <v>16551434.230955666</v>
      </c>
      <c r="D24" s="11" t="s">
        <v>27</v>
      </c>
      <c r="F24" s="11" t="s">
        <v>39</v>
      </c>
      <c r="G24" s="14">
        <f>10*LOG10(C24)-10.1</f>
        <v>62.08835632649616</v>
      </c>
    </row>
    <row r="25" spans="2:7" ht="12.75">
      <c r="B25" s="11" t="s">
        <v>37</v>
      </c>
      <c r="C25" s="11">
        <f>C21*G21*G20</f>
        <v>3527274.2914531217</v>
      </c>
      <c r="D25" s="11" t="s">
        <v>32</v>
      </c>
      <c r="F25" s="11" t="s">
        <v>39</v>
      </c>
      <c r="G25" s="14">
        <f>10*LOG10(C25)-10.1</f>
        <v>55.374392330252185</v>
      </c>
    </row>
    <row r="26" ht="12.75">
      <c r="G26" s="14"/>
    </row>
    <row r="27" ht="12.75">
      <c r="B27" s="12" t="s">
        <v>40</v>
      </c>
    </row>
    <row r="28" spans="2:7" ht="12.75">
      <c r="B28" s="11" t="s">
        <v>41</v>
      </c>
      <c r="C28" s="11" t="s">
        <v>42</v>
      </c>
      <c r="D28" s="11" t="s">
        <v>43</v>
      </c>
      <c r="E28" s="12">
        <v>1.5</v>
      </c>
      <c r="F28" s="11" t="s">
        <v>44</v>
      </c>
      <c r="G28" s="12">
        <v>15</v>
      </c>
    </row>
    <row r="29" spans="2:3" ht="12.75">
      <c r="B29" s="11" t="s">
        <v>41</v>
      </c>
      <c r="C29" s="11">
        <v>2.4</v>
      </c>
    </row>
    <row r="31" spans="2:4" ht="14.25">
      <c r="B31" s="2" t="s">
        <v>45</v>
      </c>
      <c r="C31" s="15">
        <f>G24-2.4</f>
        <v>59.68835632649616</v>
      </c>
      <c r="D31" s="2" t="s">
        <v>27</v>
      </c>
    </row>
    <row r="32" spans="2:4" ht="14.25">
      <c r="B32" s="2" t="s">
        <v>45</v>
      </c>
      <c r="C32" s="15">
        <f>G25-2.4</f>
        <v>52.974392330252186</v>
      </c>
      <c r="D32" s="2" t="s">
        <v>32</v>
      </c>
    </row>
  </sheetData>
  <sheetProtection/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&amp;C30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C1">
      <selection activeCell="A5" sqref="A5:I6"/>
    </sheetView>
  </sheetViews>
  <sheetFormatPr defaultColWidth="9.00390625" defaultRowHeight="12.75"/>
  <cols>
    <col min="1" max="1" width="8.75390625" style="0" customWidth="1"/>
    <col min="2" max="4" width="8.75390625" style="11" customWidth="1"/>
    <col min="5" max="5" width="8.75390625" style="12" customWidth="1"/>
    <col min="6" max="6" width="8.875" style="11" customWidth="1"/>
    <col min="7" max="7" width="6.75390625" style="12" customWidth="1"/>
    <col min="8" max="8" width="6.75390625" style="11" customWidth="1"/>
    <col min="9" max="9" width="7.25390625" style="13" customWidth="1"/>
    <col min="10" max="10" width="6.75390625" style="11" customWidth="1"/>
    <col min="11" max="11" width="6.75390625" style="13" customWidth="1"/>
  </cols>
  <sheetData>
    <row r="1" spans="1:11" s="1" customFormat="1" ht="12.75">
      <c r="A1" s="1" t="s">
        <v>61</v>
      </c>
      <c r="B1" s="2"/>
      <c r="C1" s="2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2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6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46</v>
      </c>
      <c r="B4" s="6"/>
      <c r="C4" s="6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6"/>
      <c r="D5" s="6"/>
      <c r="E5" s="7"/>
      <c r="F5" s="6"/>
      <c r="G5" s="7"/>
      <c r="H5" s="6"/>
      <c r="I5" s="8"/>
      <c r="J5" s="9"/>
      <c r="K5" s="10"/>
    </row>
    <row r="6" spans="1:11" s="5" customFormat="1" ht="12.75">
      <c r="A6" s="5" t="s">
        <v>3</v>
      </c>
      <c r="B6" s="6"/>
      <c r="C6" s="6"/>
      <c r="D6" s="6"/>
      <c r="E6" s="7"/>
      <c r="F6" s="6"/>
      <c r="G6" s="7"/>
      <c r="H6" s="6"/>
      <c r="I6" s="8"/>
      <c r="J6" s="9"/>
      <c r="K6" s="10"/>
    </row>
    <row r="8" spans="2:5" ht="12.75">
      <c r="B8" s="11" t="s">
        <v>4</v>
      </c>
      <c r="C8" s="11">
        <v>2005</v>
      </c>
      <c r="D8" s="17" t="s">
        <v>5</v>
      </c>
      <c r="E8" s="12" t="s">
        <v>5</v>
      </c>
    </row>
    <row r="9" spans="2:6" ht="15.75">
      <c r="B9" s="11" t="s">
        <v>6</v>
      </c>
      <c r="C9" s="11">
        <v>95</v>
      </c>
      <c r="E9" s="11" t="s">
        <v>7</v>
      </c>
      <c r="F9" s="11">
        <f>(C9/C12*100)</f>
        <v>18.627450980392158</v>
      </c>
    </row>
    <row r="10" spans="2:11" ht="15.75">
      <c r="B10" s="11" t="s">
        <v>8</v>
      </c>
      <c r="C10" s="11">
        <v>400</v>
      </c>
      <c r="E10" s="11" t="s">
        <v>9</v>
      </c>
      <c r="F10" s="11">
        <f>(6.9+(-1.4+0.1*F9))/100</f>
        <v>0.07362745098039217</v>
      </c>
      <c r="H10" s="11" t="s">
        <v>10</v>
      </c>
      <c r="I10" s="13">
        <f>(C10+C11)*F10</f>
        <v>30.555392156862748</v>
      </c>
      <c r="J10" s="11" t="s">
        <v>11</v>
      </c>
      <c r="K10" s="13">
        <f>(C10+C11)-I10</f>
        <v>384.44460784313725</v>
      </c>
    </row>
    <row r="11" spans="2:11" ht="15.75">
      <c r="B11" s="11" t="s">
        <v>12</v>
      </c>
      <c r="C11" s="11">
        <v>15</v>
      </c>
      <c r="E11" s="11" t="s">
        <v>13</v>
      </c>
      <c r="F11" s="11">
        <f>(10+(-2.2+0.1*F9))/100</f>
        <v>0.09662745098039215</v>
      </c>
      <c r="H11" s="11" t="s">
        <v>14</v>
      </c>
      <c r="I11" s="13">
        <f>(C9)*F11</f>
        <v>9.179607843137253</v>
      </c>
      <c r="J11" s="11" t="s">
        <v>15</v>
      </c>
      <c r="K11" s="13">
        <f>C9-I11</f>
        <v>85.82039215686275</v>
      </c>
    </row>
    <row r="12" spans="2:3" ht="12.75">
      <c r="B12" s="11" t="s">
        <v>16</v>
      </c>
      <c r="C12" s="11">
        <f>SUM(C9:C11)</f>
        <v>510</v>
      </c>
    </row>
    <row r="13" spans="2:11" ht="15.75">
      <c r="B13" s="11" t="s">
        <v>17</v>
      </c>
      <c r="C13" s="11">
        <v>90</v>
      </c>
      <c r="D13" s="11">
        <v>75</v>
      </c>
      <c r="H13" s="11" t="s">
        <v>18</v>
      </c>
      <c r="I13" s="13">
        <f>K10/18</f>
        <v>21.35803376906318</v>
      </c>
      <c r="J13" s="11" t="s">
        <v>19</v>
      </c>
      <c r="K13" s="13">
        <f>K11/18</f>
        <v>4.7677995642701525</v>
      </c>
    </row>
    <row r="14" spans="8:11" ht="15.75">
      <c r="H14" s="11" t="s">
        <v>20</v>
      </c>
      <c r="I14" s="13">
        <f>I10/6</f>
        <v>5.092565359477125</v>
      </c>
      <c r="J14" s="11" t="s">
        <v>21</v>
      </c>
      <c r="K14" s="13">
        <f>I11/6</f>
        <v>1.5299346405228755</v>
      </c>
    </row>
    <row r="16" spans="2:5" ht="15.75">
      <c r="B16" s="11" t="s">
        <v>22</v>
      </c>
      <c r="C16" s="11">
        <v>74.1</v>
      </c>
      <c r="D16" s="11" t="s">
        <v>23</v>
      </c>
      <c r="E16" s="12">
        <v>0.001519</v>
      </c>
    </row>
    <row r="17" spans="2:5" ht="15.75">
      <c r="B17" s="11" t="s">
        <v>24</v>
      </c>
      <c r="C17" s="11">
        <v>80.2</v>
      </c>
      <c r="D17" s="11" t="s">
        <v>25</v>
      </c>
      <c r="E17" s="12">
        <v>0.002122</v>
      </c>
    </row>
    <row r="20" spans="2:10" ht="15.75">
      <c r="B20" s="11" t="s">
        <v>26</v>
      </c>
      <c r="C20" s="11">
        <f>I13*E16*25703958+K13*E17*104712850</f>
        <v>1893317.9851407586</v>
      </c>
      <c r="D20" s="11" t="s">
        <v>27</v>
      </c>
      <c r="F20" s="11" t="s">
        <v>28</v>
      </c>
      <c r="G20" s="12">
        <v>1.21</v>
      </c>
      <c r="H20" s="11" t="s">
        <v>51</v>
      </c>
      <c r="I20" s="12" t="s">
        <v>30</v>
      </c>
      <c r="J20" s="11" t="s">
        <v>31</v>
      </c>
    </row>
    <row r="21" spans="2:10" ht="15.75">
      <c r="B21" s="11" t="s">
        <v>26</v>
      </c>
      <c r="C21" s="11">
        <f>I14*E16*25703958+K14*E17*104712850</f>
        <v>538788.2104660576</v>
      </c>
      <c r="D21" s="11" t="s">
        <v>32</v>
      </c>
      <c r="F21" s="11" t="s">
        <v>33</v>
      </c>
      <c r="G21" s="12">
        <v>1.1</v>
      </c>
      <c r="H21" s="11" t="s">
        <v>34</v>
      </c>
      <c r="I21" s="12" t="s">
        <v>35</v>
      </c>
      <c r="J21" s="11" t="s">
        <v>36</v>
      </c>
    </row>
    <row r="22" ht="12.75">
      <c r="L22" s="11"/>
    </row>
    <row r="23" spans="2:3" ht="15.75">
      <c r="B23" s="11" t="s">
        <v>37</v>
      </c>
      <c r="C23" s="11" t="s">
        <v>38</v>
      </c>
    </row>
    <row r="24" spans="2:7" ht="12.75">
      <c r="B24" s="11" t="s">
        <v>37</v>
      </c>
      <c r="C24" s="11">
        <f>C20*G20*G21</f>
        <v>2520006.23822235</v>
      </c>
      <c r="D24" s="11" t="s">
        <v>27</v>
      </c>
      <c r="F24" s="11" t="s">
        <v>39</v>
      </c>
      <c r="G24" s="14">
        <f>10*LOG10(C24)-10.1</f>
        <v>53.914016158697144</v>
      </c>
    </row>
    <row r="25" spans="2:7" ht="12.75">
      <c r="B25" s="11" t="s">
        <v>37</v>
      </c>
      <c r="C25" s="11">
        <f>C21*G21*G20</f>
        <v>717127.1081303228</v>
      </c>
      <c r="D25" s="11" t="s">
        <v>32</v>
      </c>
      <c r="F25" s="11" t="s">
        <v>39</v>
      </c>
      <c r="G25" s="14">
        <f>10*LOG10(C25)-10.1</f>
        <v>48.455961395828744</v>
      </c>
    </row>
    <row r="26" ht="12.75">
      <c r="G26" s="14"/>
    </row>
    <row r="27" spans="2:3" ht="12.75">
      <c r="B27" s="12" t="s">
        <v>47</v>
      </c>
      <c r="C27" s="12"/>
    </row>
    <row r="28" spans="2:5" ht="12.75">
      <c r="B28" s="11" t="s">
        <v>41</v>
      </c>
      <c r="C28" s="12" t="s">
        <v>48</v>
      </c>
      <c r="D28" s="11" t="s">
        <v>43</v>
      </c>
      <c r="E28" s="12">
        <v>1.5</v>
      </c>
    </row>
    <row r="29" spans="2:3" ht="12.75">
      <c r="B29" s="11" t="s">
        <v>41</v>
      </c>
      <c r="C29" s="12">
        <f>8.78*LOG10((F31*F31+20.25)/76.5)</f>
        <v>-0.37966175212241404</v>
      </c>
    </row>
    <row r="30" spans="2:3" ht="12.75">
      <c r="B30" s="11" t="s">
        <v>41</v>
      </c>
      <c r="C30" s="12">
        <f>8.78*LOG10((F32*F32+20.25)/76.5)</f>
        <v>3.4538276975023665</v>
      </c>
    </row>
    <row r="31" spans="2:6" ht="14.25">
      <c r="B31" s="2" t="s">
        <v>49</v>
      </c>
      <c r="C31" s="16">
        <f>G24-C29</f>
        <v>54.29367791081956</v>
      </c>
      <c r="D31" s="2" t="s">
        <v>27</v>
      </c>
      <c r="E31" s="11" t="s">
        <v>44</v>
      </c>
      <c r="F31" s="11">
        <v>7</v>
      </c>
    </row>
    <row r="32" spans="2:6" ht="14.25">
      <c r="B32" s="2" t="s">
        <v>50</v>
      </c>
      <c r="C32" s="16">
        <f>G25-C30</f>
        <v>45.002133698326375</v>
      </c>
      <c r="D32" s="2" t="s">
        <v>32</v>
      </c>
      <c r="E32" s="11" t="s">
        <v>44</v>
      </c>
      <c r="F32" s="2">
        <v>13</v>
      </c>
    </row>
  </sheetData>
  <sheetProtection/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&amp;C39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5" sqref="A5:I6"/>
    </sheetView>
  </sheetViews>
  <sheetFormatPr defaultColWidth="9.00390625" defaultRowHeight="12.75"/>
  <cols>
    <col min="1" max="1" width="8.75390625" style="0" customWidth="1"/>
    <col min="2" max="4" width="8.75390625" style="11" customWidth="1"/>
    <col min="5" max="5" width="8.75390625" style="12" customWidth="1"/>
    <col min="6" max="6" width="8.875" style="11" customWidth="1"/>
    <col min="7" max="7" width="6.75390625" style="12" customWidth="1"/>
    <col min="8" max="8" width="6.75390625" style="11" customWidth="1"/>
    <col min="9" max="9" width="7.25390625" style="13" customWidth="1"/>
    <col min="10" max="10" width="6.75390625" style="11" customWidth="1"/>
    <col min="11" max="11" width="6.75390625" style="13" customWidth="1"/>
  </cols>
  <sheetData>
    <row r="1" spans="1:11" s="1" customFormat="1" ht="12.75">
      <c r="A1" s="1" t="s">
        <v>53</v>
      </c>
      <c r="B1" s="2"/>
      <c r="C1" s="2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2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6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46</v>
      </c>
      <c r="B4" s="6"/>
      <c r="C4" s="6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6"/>
      <c r="D5" s="6"/>
      <c r="E5" s="7"/>
      <c r="F5" s="6"/>
      <c r="G5" s="7"/>
      <c r="H5" s="6"/>
      <c r="I5" s="8"/>
      <c r="J5" s="9"/>
      <c r="K5" s="10"/>
    </row>
    <row r="6" spans="1:11" s="5" customFormat="1" ht="12.75">
      <c r="A6" s="5" t="s">
        <v>3</v>
      </c>
      <c r="B6" s="6"/>
      <c r="C6" s="6"/>
      <c r="D6" s="6"/>
      <c r="E6" s="7"/>
      <c r="F6" s="6"/>
      <c r="G6" s="7"/>
      <c r="H6" s="6"/>
      <c r="I6" s="8"/>
      <c r="J6" s="9"/>
      <c r="K6" s="10"/>
    </row>
    <row r="8" spans="2:4" ht="12.75">
      <c r="B8" s="11" t="s">
        <v>4</v>
      </c>
      <c r="C8" s="11">
        <v>2005</v>
      </c>
      <c r="D8" s="17">
        <v>65650</v>
      </c>
    </row>
    <row r="9" spans="2:6" ht="15.75">
      <c r="B9" s="11" t="s">
        <v>6</v>
      </c>
      <c r="C9" s="11">
        <v>563</v>
      </c>
      <c r="E9" s="11" t="s">
        <v>7</v>
      </c>
      <c r="F9" s="11">
        <f>(C9/C12*100)</f>
        <v>23.86604493429419</v>
      </c>
    </row>
    <row r="10" spans="2:11" ht="15.75">
      <c r="B10" s="11" t="s">
        <v>8</v>
      </c>
      <c r="C10" s="11">
        <v>1783</v>
      </c>
      <c r="E10" s="11" t="s">
        <v>9</v>
      </c>
      <c r="F10" s="11">
        <f>(6.9+(-1.4+0.1*F9))/100</f>
        <v>0.07886604493429421</v>
      </c>
      <c r="H10" s="11" t="s">
        <v>10</v>
      </c>
      <c r="I10" s="13">
        <f>(C10+C11)*F10</f>
        <v>141.6434167019924</v>
      </c>
      <c r="J10" s="11" t="s">
        <v>11</v>
      </c>
      <c r="K10" s="13">
        <f>(C10+C11)-I10</f>
        <v>1654.3565832980075</v>
      </c>
    </row>
    <row r="11" spans="2:11" ht="15.75">
      <c r="B11" s="11" t="s">
        <v>12</v>
      </c>
      <c r="C11" s="11">
        <v>13</v>
      </c>
      <c r="E11" s="11" t="s">
        <v>13</v>
      </c>
      <c r="F11" s="11">
        <f>(10+(-2.2+0.1*F9))/100</f>
        <v>0.10186604493429419</v>
      </c>
      <c r="H11" s="11" t="s">
        <v>14</v>
      </c>
      <c r="I11" s="13">
        <f>(C9)*F11</f>
        <v>57.35058329800763</v>
      </c>
      <c r="J11" s="11" t="s">
        <v>15</v>
      </c>
      <c r="K11" s="13">
        <f>C9-I11</f>
        <v>505.6494167019924</v>
      </c>
    </row>
    <row r="12" spans="2:3" ht="12.75">
      <c r="B12" s="11" t="s">
        <v>16</v>
      </c>
      <c r="C12" s="11">
        <f>SUM(C9:C11)</f>
        <v>2359</v>
      </c>
    </row>
    <row r="13" spans="2:11" ht="15.75">
      <c r="B13" s="11" t="s">
        <v>17</v>
      </c>
      <c r="C13" s="11">
        <v>90</v>
      </c>
      <c r="D13" s="11">
        <v>75</v>
      </c>
      <c r="H13" s="11" t="s">
        <v>18</v>
      </c>
      <c r="I13" s="13">
        <f>K10/18</f>
        <v>91.90869907211153</v>
      </c>
      <c r="J13" s="11" t="s">
        <v>19</v>
      </c>
      <c r="K13" s="13">
        <f>K11/18</f>
        <v>28.0916342612218</v>
      </c>
    </row>
    <row r="14" spans="8:11" ht="15.75">
      <c r="H14" s="11" t="s">
        <v>20</v>
      </c>
      <c r="I14" s="13">
        <f>I10/6</f>
        <v>23.607236116998735</v>
      </c>
      <c r="J14" s="11" t="s">
        <v>21</v>
      </c>
      <c r="K14" s="13">
        <f>I11/6</f>
        <v>9.558430549667937</v>
      </c>
    </row>
    <row r="16" spans="2:5" ht="15.75">
      <c r="B16" s="11" t="s">
        <v>22</v>
      </c>
      <c r="C16" s="11">
        <v>74.9</v>
      </c>
      <c r="D16" s="11" t="s">
        <v>23</v>
      </c>
      <c r="E16" s="12">
        <v>0.001519</v>
      </c>
    </row>
    <row r="17" spans="2:5" ht="15.75">
      <c r="B17" s="11" t="s">
        <v>24</v>
      </c>
      <c r="C17" s="11">
        <v>81.4</v>
      </c>
      <c r="D17" s="11" t="s">
        <v>25</v>
      </c>
      <c r="E17" s="12">
        <v>0.002122</v>
      </c>
    </row>
    <row r="20" spans="2:10" ht="15.75">
      <c r="B20" s="11" t="s">
        <v>26</v>
      </c>
      <c r="C20" s="11">
        <f>I13*E16*30902954+K13*E17*138038430</f>
        <v>12542872.845162872</v>
      </c>
      <c r="D20" s="11" t="s">
        <v>27</v>
      </c>
      <c r="F20" s="11" t="s">
        <v>28</v>
      </c>
      <c r="G20" s="12">
        <v>1.21</v>
      </c>
      <c r="H20" s="11" t="s">
        <v>51</v>
      </c>
      <c r="I20" s="12" t="s">
        <v>30</v>
      </c>
      <c r="J20" s="11" t="s">
        <v>31</v>
      </c>
    </row>
    <row r="21" spans="2:10" ht="15.75">
      <c r="B21" s="11" t="s">
        <v>26</v>
      </c>
      <c r="C21" s="11">
        <f>I14*E16*30602954+K14*E17*138038430</f>
        <v>3897235.3572255364</v>
      </c>
      <c r="D21" s="11" t="s">
        <v>32</v>
      </c>
      <c r="F21" s="11" t="s">
        <v>33</v>
      </c>
      <c r="G21" s="12">
        <v>1.1</v>
      </c>
      <c r="H21" s="11" t="s">
        <v>34</v>
      </c>
      <c r="I21" s="12" t="s">
        <v>35</v>
      </c>
      <c r="J21" s="11" t="s">
        <v>36</v>
      </c>
    </row>
    <row r="22" ht="12.75">
      <c r="L22" s="11"/>
    </row>
    <row r="23" spans="2:3" ht="15.75">
      <c r="B23" s="11" t="s">
        <v>37</v>
      </c>
      <c r="C23" s="11" t="s">
        <v>38</v>
      </c>
    </row>
    <row r="24" spans="2:7" ht="12.75">
      <c r="B24" s="11" t="s">
        <v>37</v>
      </c>
      <c r="C24" s="11">
        <f>C20*G20*G21</f>
        <v>16694563.756911783</v>
      </c>
      <c r="D24" s="11" t="s">
        <v>27</v>
      </c>
      <c r="F24" s="11" t="s">
        <v>39</v>
      </c>
      <c r="G24" s="14">
        <f>10*LOG10(C24)-10.1</f>
        <v>62.12575075056079</v>
      </c>
    </row>
    <row r="25" spans="2:7" ht="12.75">
      <c r="B25" s="11" t="s">
        <v>37</v>
      </c>
      <c r="C25" s="11">
        <f>C21*G21*G20</f>
        <v>5187220.260467188</v>
      </c>
      <c r="D25" s="11" t="s">
        <v>32</v>
      </c>
      <c r="F25" s="11" t="s">
        <v>39</v>
      </c>
      <c r="G25" s="14">
        <f>10*LOG10(C25)-10.1</f>
        <v>57.04934689457732</v>
      </c>
    </row>
    <row r="26" ht="12.75">
      <c r="G26" s="14"/>
    </row>
    <row r="27" spans="2:3" ht="12.75">
      <c r="B27" s="12" t="s">
        <v>47</v>
      </c>
      <c r="C27" s="12"/>
    </row>
    <row r="28" spans="2:5" ht="12.75">
      <c r="B28" s="11" t="s">
        <v>41</v>
      </c>
      <c r="C28" s="12" t="s">
        <v>48</v>
      </c>
      <c r="D28" s="11" t="s">
        <v>43</v>
      </c>
      <c r="E28" s="12">
        <v>1.5</v>
      </c>
    </row>
    <row r="29" spans="2:3" ht="12.75">
      <c r="B29" s="11" t="s">
        <v>41</v>
      </c>
      <c r="C29" s="12">
        <f>8.78*LOG10((F31*F31+20.25)/76.5)</f>
        <v>2.338351247346398</v>
      </c>
    </row>
    <row r="30" spans="2:3" ht="12.75">
      <c r="B30" s="11" t="s">
        <v>41</v>
      </c>
      <c r="C30" s="12">
        <f>8.78*LOG10((F32*F32+20.25)/76.5)</f>
        <v>7.190683661799807</v>
      </c>
    </row>
    <row r="31" spans="2:7" ht="14.25">
      <c r="B31" s="2" t="s">
        <v>49</v>
      </c>
      <c r="C31" s="16">
        <f>G24-C29</f>
        <v>59.787399503214395</v>
      </c>
      <c r="D31" s="2" t="s">
        <v>27</v>
      </c>
      <c r="E31" s="11" t="s">
        <v>44</v>
      </c>
      <c r="F31" s="11">
        <v>11</v>
      </c>
      <c r="G31" s="11">
        <v>22</v>
      </c>
    </row>
    <row r="32" spans="2:7" ht="14.25">
      <c r="B32" s="2" t="s">
        <v>50</v>
      </c>
      <c r="C32" s="16">
        <f>G25-C30</f>
        <v>49.85866323277751</v>
      </c>
      <c r="D32" s="2" t="s">
        <v>32</v>
      </c>
      <c r="E32" s="11" t="s">
        <v>44</v>
      </c>
      <c r="F32" s="2">
        <v>22</v>
      </c>
      <c r="G32" s="2">
        <v>43</v>
      </c>
    </row>
  </sheetData>
  <sheetProtection/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&amp;C31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4" sqref="A4:I6"/>
    </sheetView>
  </sheetViews>
  <sheetFormatPr defaultColWidth="9.00390625" defaultRowHeight="12.75"/>
  <cols>
    <col min="1" max="1" width="8.75390625" style="0" customWidth="1"/>
    <col min="2" max="4" width="8.75390625" style="11" customWidth="1"/>
    <col min="5" max="5" width="8.75390625" style="12" customWidth="1"/>
    <col min="6" max="6" width="8.875" style="11" customWidth="1"/>
    <col min="7" max="7" width="6.75390625" style="12" customWidth="1"/>
    <col min="8" max="8" width="6.75390625" style="11" customWidth="1"/>
    <col min="9" max="9" width="7.25390625" style="13" customWidth="1"/>
    <col min="10" max="10" width="6.75390625" style="11" customWidth="1"/>
    <col min="11" max="11" width="6.75390625" style="13" customWidth="1"/>
  </cols>
  <sheetData>
    <row r="1" spans="1:11" s="1" customFormat="1" ht="12.75">
      <c r="A1" s="1" t="s">
        <v>54</v>
      </c>
      <c r="B1" s="2"/>
      <c r="C1" s="2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2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6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46</v>
      </c>
      <c r="B4" s="6"/>
      <c r="C4" s="6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6"/>
      <c r="D5" s="6"/>
      <c r="E5" s="7"/>
      <c r="F5" s="6"/>
      <c r="G5" s="7"/>
      <c r="H5" s="6"/>
      <c r="I5" s="8"/>
      <c r="J5" s="9"/>
      <c r="K5" s="10"/>
    </row>
    <row r="6" spans="1:11" s="5" customFormat="1" ht="12.75">
      <c r="A6" s="5" t="s">
        <v>3</v>
      </c>
      <c r="B6" s="6"/>
      <c r="C6" s="6"/>
      <c r="D6" s="6"/>
      <c r="E6" s="7"/>
      <c r="F6" s="6"/>
      <c r="G6" s="7"/>
      <c r="H6" s="6"/>
      <c r="I6" s="8"/>
      <c r="J6" s="9"/>
      <c r="K6" s="10"/>
    </row>
    <row r="8" spans="2:4" ht="12.75">
      <c r="B8" s="11" t="s">
        <v>4</v>
      </c>
      <c r="C8" s="11">
        <v>2005</v>
      </c>
      <c r="D8" s="17">
        <v>63050</v>
      </c>
    </row>
    <row r="9" spans="2:6" ht="15.75">
      <c r="B9" s="11" t="s">
        <v>6</v>
      </c>
      <c r="C9" s="11">
        <v>622</v>
      </c>
      <c r="E9" s="11" t="s">
        <v>7</v>
      </c>
      <c r="F9" s="11">
        <f>(C9/C12*100)</f>
        <v>22.056737588652485</v>
      </c>
    </row>
    <row r="10" spans="2:11" ht="15.75">
      <c r="B10" s="11" t="s">
        <v>8</v>
      </c>
      <c r="C10" s="11">
        <v>2180</v>
      </c>
      <c r="E10" s="11" t="s">
        <v>9</v>
      </c>
      <c r="F10" s="11">
        <f>(6.9+(-1.4+0.1*F9))/100</f>
        <v>0.07705673758865249</v>
      </c>
      <c r="H10" s="11" t="s">
        <v>10</v>
      </c>
      <c r="I10" s="13">
        <f>(C10+C11)*F10</f>
        <v>169.37070921985816</v>
      </c>
      <c r="J10" s="11" t="s">
        <v>11</v>
      </c>
      <c r="K10" s="13">
        <f>(C10+C11)-I10</f>
        <v>2028.629290780142</v>
      </c>
    </row>
    <row r="11" spans="2:11" ht="15.75">
      <c r="B11" s="11" t="s">
        <v>12</v>
      </c>
      <c r="C11" s="11">
        <v>18</v>
      </c>
      <c r="E11" s="11" t="s">
        <v>13</v>
      </c>
      <c r="F11" s="11">
        <f>(10+(-2.2+0.1*F9))/100</f>
        <v>0.10005673758865248</v>
      </c>
      <c r="H11" s="11" t="s">
        <v>14</v>
      </c>
      <c r="I11" s="13">
        <f>(C9)*F11</f>
        <v>62.235290780141845</v>
      </c>
      <c r="J11" s="11" t="s">
        <v>15</v>
      </c>
      <c r="K11" s="13">
        <f>C9-I11</f>
        <v>559.7647092198581</v>
      </c>
    </row>
    <row r="12" spans="2:3" ht="12.75">
      <c r="B12" s="11" t="s">
        <v>16</v>
      </c>
      <c r="C12" s="11">
        <f>SUM(C9:C11)</f>
        <v>2820</v>
      </c>
    </row>
    <row r="13" spans="2:11" ht="15.75">
      <c r="B13" s="11" t="s">
        <v>17</v>
      </c>
      <c r="C13" s="11">
        <v>90</v>
      </c>
      <c r="D13" s="11">
        <v>75</v>
      </c>
      <c r="H13" s="11" t="s">
        <v>18</v>
      </c>
      <c r="I13" s="13">
        <f>K10/18</f>
        <v>112.70162726556345</v>
      </c>
      <c r="J13" s="11" t="s">
        <v>19</v>
      </c>
      <c r="K13" s="13">
        <f>K11/18</f>
        <v>31.09803940110323</v>
      </c>
    </row>
    <row r="14" spans="8:11" ht="15.75">
      <c r="H14" s="11" t="s">
        <v>20</v>
      </c>
      <c r="I14" s="13">
        <f>I10/6</f>
        <v>28.228451536643025</v>
      </c>
      <c r="J14" s="11" t="s">
        <v>21</v>
      </c>
      <c r="K14" s="13">
        <f>I11/6</f>
        <v>10.372548463356974</v>
      </c>
    </row>
    <row r="16" spans="2:5" ht="15.75">
      <c r="B16" s="11" t="s">
        <v>22</v>
      </c>
      <c r="C16" s="11">
        <v>74.9</v>
      </c>
      <c r="D16" s="11" t="s">
        <v>23</v>
      </c>
      <c r="E16" s="12">
        <v>0.001519</v>
      </c>
    </row>
    <row r="17" spans="2:5" ht="15.75">
      <c r="B17" s="11" t="s">
        <v>24</v>
      </c>
      <c r="C17" s="11">
        <v>81.4</v>
      </c>
      <c r="D17" s="11" t="s">
        <v>25</v>
      </c>
      <c r="E17" s="12">
        <v>0.002122</v>
      </c>
    </row>
    <row r="20" spans="2:10" ht="15.75">
      <c r="B20" s="11" t="s">
        <v>26</v>
      </c>
      <c r="C20" s="11">
        <f>I13*E16*30902954+K13*E17*138038430</f>
        <v>14399554.718812067</v>
      </c>
      <c r="D20" s="11" t="s">
        <v>27</v>
      </c>
      <c r="F20" s="11" t="s">
        <v>28</v>
      </c>
      <c r="G20" s="12">
        <v>1.21</v>
      </c>
      <c r="H20" s="11" t="s">
        <v>51</v>
      </c>
      <c r="I20" s="12" t="s">
        <v>30</v>
      </c>
      <c r="J20" s="11" t="s">
        <v>31</v>
      </c>
    </row>
    <row r="21" spans="2:10" ht="15.75">
      <c r="B21" s="11" t="s">
        <v>26</v>
      </c>
      <c r="C21" s="11">
        <f>I14*E16*30602954+K14*E17*138038430</f>
        <v>4350526.079043214</v>
      </c>
      <c r="D21" s="11" t="s">
        <v>32</v>
      </c>
      <c r="F21" s="11" t="s">
        <v>33</v>
      </c>
      <c r="G21" s="12">
        <v>1.1</v>
      </c>
      <c r="H21" s="11" t="s">
        <v>34</v>
      </c>
      <c r="I21" s="12" t="s">
        <v>35</v>
      </c>
      <c r="J21" s="11" t="s">
        <v>36</v>
      </c>
    </row>
    <row r="22" ht="12.75">
      <c r="L22" s="11"/>
    </row>
    <row r="23" spans="2:3" ht="15.75">
      <c r="B23" s="11" t="s">
        <v>37</v>
      </c>
      <c r="C23" s="11" t="s">
        <v>38</v>
      </c>
    </row>
    <row r="24" spans="2:7" ht="12.75">
      <c r="B24" s="11" t="s">
        <v>37</v>
      </c>
      <c r="C24" s="11">
        <f>C20*G20*G21</f>
        <v>19165807.33073886</v>
      </c>
      <c r="D24" s="11" t="s">
        <v>27</v>
      </c>
      <c r="F24" s="11" t="s">
        <v>39</v>
      </c>
      <c r="G24" s="14">
        <f>10*LOG10(C24)-10.1</f>
        <v>62.725271179759794</v>
      </c>
    </row>
    <row r="25" spans="2:7" ht="12.75">
      <c r="B25" s="11" t="s">
        <v>37</v>
      </c>
      <c r="C25" s="11">
        <f>C21*G21*G20</f>
        <v>5790550.211206518</v>
      </c>
      <c r="D25" s="11" t="s">
        <v>32</v>
      </c>
      <c r="F25" s="11" t="s">
        <v>39</v>
      </c>
      <c r="G25" s="14">
        <f>10*LOG10(C25)-10.1</f>
        <v>57.527198318341654</v>
      </c>
    </row>
    <row r="26" ht="12.75">
      <c r="G26" s="14"/>
    </row>
    <row r="27" spans="2:3" ht="12.75">
      <c r="B27" s="12" t="s">
        <v>47</v>
      </c>
      <c r="C27" s="12"/>
    </row>
    <row r="28" spans="2:5" ht="12.75">
      <c r="B28" s="11" t="s">
        <v>41</v>
      </c>
      <c r="C28" s="12" t="s">
        <v>48</v>
      </c>
      <c r="D28" s="11" t="s">
        <v>43</v>
      </c>
      <c r="E28" s="12">
        <v>1.5</v>
      </c>
    </row>
    <row r="29" spans="2:3" ht="12.75">
      <c r="B29" s="11" t="s">
        <v>41</v>
      </c>
      <c r="C29" s="12">
        <f>8.78*LOG10((F31*F31+20.25)/76.5)</f>
        <v>2.9135898202266026</v>
      </c>
    </row>
    <row r="30" spans="2:3" ht="12.75">
      <c r="B30" s="11" t="s">
        <v>41</v>
      </c>
      <c r="C30" s="12">
        <f>8.78*LOG10((F32*F32+20.25)/76.5)</f>
        <v>7.829713881534173</v>
      </c>
    </row>
    <row r="31" spans="2:7" ht="14.25">
      <c r="B31" s="2" t="s">
        <v>49</v>
      </c>
      <c r="C31" s="16">
        <f>G24-C29</f>
        <v>59.81168135953319</v>
      </c>
      <c r="D31" s="2" t="s">
        <v>27</v>
      </c>
      <c r="E31" s="11" t="s">
        <v>44</v>
      </c>
      <c r="F31" s="11">
        <v>12</v>
      </c>
      <c r="G31" s="11">
        <v>24</v>
      </c>
    </row>
    <row r="32" spans="2:7" ht="14.25">
      <c r="B32" s="2" t="s">
        <v>50</v>
      </c>
      <c r="C32" s="16">
        <f>G25-C30</f>
        <v>49.69748443680748</v>
      </c>
      <c r="D32" s="2" t="s">
        <v>32</v>
      </c>
      <c r="E32" s="11" t="s">
        <v>44</v>
      </c>
      <c r="F32" s="2">
        <v>24</v>
      </c>
      <c r="G32" s="2">
        <v>45</v>
      </c>
    </row>
  </sheetData>
  <sheetProtection/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&amp;C32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5" sqref="A5:I6"/>
    </sheetView>
  </sheetViews>
  <sheetFormatPr defaultColWidth="9.00390625" defaultRowHeight="12.75"/>
  <cols>
    <col min="1" max="1" width="8.75390625" style="0" customWidth="1"/>
    <col min="2" max="4" width="8.75390625" style="11" customWidth="1"/>
    <col min="5" max="5" width="8.75390625" style="12" customWidth="1"/>
    <col min="6" max="6" width="8.875" style="11" customWidth="1"/>
    <col min="7" max="7" width="6.75390625" style="12" customWidth="1"/>
    <col min="8" max="8" width="6.75390625" style="11" customWidth="1"/>
    <col min="9" max="9" width="7.25390625" style="13" customWidth="1"/>
    <col min="10" max="10" width="6.75390625" style="11" customWidth="1"/>
    <col min="11" max="11" width="6.75390625" style="13" customWidth="1"/>
  </cols>
  <sheetData>
    <row r="1" spans="1:11" s="1" customFormat="1" ht="12.75">
      <c r="A1" s="1" t="s">
        <v>55</v>
      </c>
      <c r="B1" s="2"/>
      <c r="C1" s="2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2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6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46</v>
      </c>
      <c r="B4" s="6"/>
      <c r="C4" s="6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6"/>
      <c r="D5" s="6"/>
      <c r="E5" s="7"/>
      <c r="F5" s="6"/>
      <c r="G5" s="7"/>
      <c r="H5" s="6"/>
      <c r="I5" s="8"/>
      <c r="J5" s="9"/>
      <c r="K5" s="10"/>
    </row>
    <row r="6" spans="1:11" s="5" customFormat="1" ht="12.75">
      <c r="A6" s="5" t="s">
        <v>3</v>
      </c>
      <c r="B6" s="6"/>
      <c r="C6" s="6"/>
      <c r="D6" s="6"/>
      <c r="E6" s="7"/>
      <c r="F6" s="6"/>
      <c r="G6" s="7"/>
      <c r="H6" s="6"/>
      <c r="I6" s="8"/>
      <c r="J6" s="9"/>
      <c r="K6" s="10"/>
    </row>
    <row r="8" spans="2:5" ht="12.75">
      <c r="B8" s="11" t="s">
        <v>4</v>
      </c>
      <c r="C8" s="11">
        <v>2005</v>
      </c>
      <c r="D8" s="17">
        <v>63050</v>
      </c>
      <c r="E8" s="12" t="s">
        <v>5</v>
      </c>
    </row>
    <row r="9" spans="2:6" ht="15.75">
      <c r="B9" s="11" t="s">
        <v>6</v>
      </c>
      <c r="C9" s="11">
        <v>730</v>
      </c>
      <c r="E9" s="11" t="s">
        <v>7</v>
      </c>
      <c r="F9" s="11">
        <f>(C9/C12*100)</f>
        <v>22.427035330261134</v>
      </c>
    </row>
    <row r="10" spans="2:11" ht="15.75">
      <c r="B10" s="11" t="s">
        <v>8</v>
      </c>
      <c r="C10" s="11">
        <v>2500</v>
      </c>
      <c r="E10" s="11" t="s">
        <v>9</v>
      </c>
      <c r="F10" s="11">
        <f>(6.9+(-1.4+0.1*F9))/100</f>
        <v>0.07742703533026114</v>
      </c>
      <c r="H10" s="11" t="s">
        <v>10</v>
      </c>
      <c r="I10" s="13">
        <f>(C10+C11)*F10</f>
        <v>195.5032642089094</v>
      </c>
      <c r="J10" s="11" t="s">
        <v>11</v>
      </c>
      <c r="K10" s="13">
        <f>(C10+C11)-I10</f>
        <v>2329.4967357910905</v>
      </c>
    </row>
    <row r="11" spans="2:11" ht="15.75">
      <c r="B11" s="11" t="s">
        <v>12</v>
      </c>
      <c r="C11" s="11">
        <v>25</v>
      </c>
      <c r="E11" s="11" t="s">
        <v>13</v>
      </c>
      <c r="F11" s="11">
        <f>(10+(-2.2+0.1*F9))/100</f>
        <v>0.10042703533026114</v>
      </c>
      <c r="H11" s="11" t="s">
        <v>14</v>
      </c>
      <c r="I11" s="13">
        <f>(C9)*F11</f>
        <v>73.31173579109063</v>
      </c>
      <c r="J11" s="11" t="s">
        <v>15</v>
      </c>
      <c r="K11" s="13">
        <f>C9-I11</f>
        <v>656.6882642089093</v>
      </c>
    </row>
    <row r="12" spans="2:3" ht="12.75">
      <c r="B12" s="11" t="s">
        <v>16</v>
      </c>
      <c r="C12" s="11">
        <f>SUM(C9:C11)</f>
        <v>3255</v>
      </c>
    </row>
    <row r="13" spans="2:11" ht="15.75">
      <c r="B13" s="11" t="s">
        <v>17</v>
      </c>
      <c r="C13" s="11">
        <v>90</v>
      </c>
      <c r="D13" s="11">
        <v>75</v>
      </c>
      <c r="H13" s="11" t="s">
        <v>18</v>
      </c>
      <c r="I13" s="13">
        <f>K10/18</f>
        <v>129.41648532172724</v>
      </c>
      <c r="J13" s="11" t="s">
        <v>19</v>
      </c>
      <c r="K13" s="13">
        <f>K11/18</f>
        <v>36.48268134493941</v>
      </c>
    </row>
    <row r="14" spans="8:11" ht="15.75">
      <c r="H14" s="11" t="s">
        <v>20</v>
      </c>
      <c r="I14" s="13">
        <f>I10/6</f>
        <v>32.58387736815157</v>
      </c>
      <c r="J14" s="11" t="s">
        <v>21</v>
      </c>
      <c r="K14" s="13">
        <f>I11/6</f>
        <v>12.218622631848438</v>
      </c>
    </row>
    <row r="16" spans="2:5" ht="15.75">
      <c r="B16" s="11" t="s">
        <v>22</v>
      </c>
      <c r="C16" s="11">
        <v>74.1</v>
      </c>
      <c r="D16" s="11" t="s">
        <v>23</v>
      </c>
      <c r="E16" s="12">
        <v>0.001519</v>
      </c>
    </row>
    <row r="17" spans="2:5" ht="15.75">
      <c r="B17" s="11" t="s">
        <v>24</v>
      </c>
      <c r="C17" s="11">
        <v>80.2</v>
      </c>
      <c r="D17" s="11" t="s">
        <v>25</v>
      </c>
      <c r="E17" s="12">
        <v>0.002122</v>
      </c>
    </row>
    <row r="20" spans="2:10" ht="15.75">
      <c r="B20" s="11" t="s">
        <v>26</v>
      </c>
      <c r="C20" s="11">
        <f>I13*E16*25703958+K13*E17*104712850</f>
        <v>13159453.81131894</v>
      </c>
      <c r="D20" s="11" t="s">
        <v>27</v>
      </c>
      <c r="F20" s="11" t="s">
        <v>28</v>
      </c>
      <c r="G20" s="12">
        <v>1.21</v>
      </c>
      <c r="H20" s="11" t="s">
        <v>51</v>
      </c>
      <c r="I20" s="12" t="s">
        <v>30</v>
      </c>
      <c r="J20" s="11" t="s">
        <v>31</v>
      </c>
    </row>
    <row r="21" spans="2:10" ht="15.75">
      <c r="B21" s="11" t="s">
        <v>26</v>
      </c>
      <c r="C21" s="11">
        <f>I14*E16*25703958+K14*E17*104712850</f>
        <v>3987201.1878848462</v>
      </c>
      <c r="D21" s="11" t="s">
        <v>32</v>
      </c>
      <c r="F21" s="11" t="s">
        <v>33</v>
      </c>
      <c r="G21" s="12">
        <v>1.1</v>
      </c>
      <c r="H21" s="11" t="s">
        <v>34</v>
      </c>
      <c r="I21" s="12" t="s">
        <v>35</v>
      </c>
      <c r="J21" s="11" t="s">
        <v>36</v>
      </c>
    </row>
    <row r="22" ht="12.75">
      <c r="L22" s="11"/>
    </row>
    <row r="23" spans="2:3" ht="15.75">
      <c r="B23" s="11" t="s">
        <v>37</v>
      </c>
      <c r="C23" s="11" t="s">
        <v>38</v>
      </c>
    </row>
    <row r="24" spans="2:7" ht="12.75">
      <c r="B24" s="11" t="s">
        <v>37</v>
      </c>
      <c r="C24" s="11">
        <f>C20*G20*G21</f>
        <v>17515233.022865508</v>
      </c>
      <c r="D24" s="11" t="s">
        <v>27</v>
      </c>
      <c r="F24" s="11" t="s">
        <v>39</v>
      </c>
      <c r="G24" s="14">
        <f>10*LOG10(C24)-10.1</f>
        <v>62.334159195510246</v>
      </c>
    </row>
    <row r="25" spans="2:7" ht="12.75">
      <c r="B25" s="11" t="s">
        <v>37</v>
      </c>
      <c r="C25" s="11">
        <f>C21*G21*G20</f>
        <v>5306964.781074731</v>
      </c>
      <c r="D25" s="11" t="s">
        <v>32</v>
      </c>
      <c r="F25" s="11" t="s">
        <v>39</v>
      </c>
      <c r="G25" s="14">
        <f>10*LOG10(C25)-10.1</f>
        <v>57.1484620550471</v>
      </c>
    </row>
    <row r="26" ht="12.75">
      <c r="G26" s="14"/>
    </row>
    <row r="27" spans="2:3" ht="12.75">
      <c r="B27" s="12" t="s">
        <v>47</v>
      </c>
      <c r="C27" s="12"/>
    </row>
    <row r="28" spans="2:5" ht="12.75">
      <c r="B28" s="11" t="s">
        <v>41</v>
      </c>
      <c r="C28" s="12" t="s">
        <v>48</v>
      </c>
      <c r="D28" s="11" t="s">
        <v>43</v>
      </c>
      <c r="E28" s="12">
        <v>1.5</v>
      </c>
    </row>
    <row r="29" spans="2:3" ht="12.75">
      <c r="B29" s="11" t="s">
        <v>41</v>
      </c>
      <c r="C29" s="12">
        <f>8.78*LOG10((F31*F31+20.25)/76.5)</f>
        <v>2.338351247346398</v>
      </c>
    </row>
    <row r="30" spans="2:3" ht="12.75">
      <c r="B30" s="11" t="s">
        <v>41</v>
      </c>
      <c r="C30" s="12">
        <f>8.78*LOG10((F32*F32+20.25)/76.5)</f>
        <v>7.190683661799807</v>
      </c>
    </row>
    <row r="31" spans="2:7" ht="14.25">
      <c r="B31" s="2" t="s">
        <v>49</v>
      </c>
      <c r="C31" s="16">
        <f>G24-C29</f>
        <v>59.99580794816385</v>
      </c>
      <c r="D31" s="2" t="s">
        <v>27</v>
      </c>
      <c r="E31" s="11" t="s">
        <v>44</v>
      </c>
      <c r="F31" s="11">
        <v>11</v>
      </c>
      <c r="G31" s="11">
        <v>23</v>
      </c>
    </row>
    <row r="32" spans="2:7" ht="14.25">
      <c r="B32" s="2" t="s">
        <v>50</v>
      </c>
      <c r="C32" s="16">
        <f>G25-C30</f>
        <v>49.95777839324729</v>
      </c>
      <c r="D32" s="2" t="s">
        <v>32</v>
      </c>
      <c r="E32" s="11" t="s">
        <v>44</v>
      </c>
      <c r="F32" s="2">
        <v>22</v>
      </c>
      <c r="G32" s="2">
        <v>43</v>
      </c>
    </row>
  </sheetData>
  <sheetProtection/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&amp;C33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5" sqref="A5:I6"/>
    </sheetView>
  </sheetViews>
  <sheetFormatPr defaultColWidth="9.00390625" defaultRowHeight="12.75"/>
  <cols>
    <col min="1" max="1" width="8.75390625" style="0" customWidth="1"/>
    <col min="2" max="4" width="8.75390625" style="11" customWidth="1"/>
    <col min="5" max="5" width="8.75390625" style="12" customWidth="1"/>
    <col min="6" max="6" width="8.875" style="11" customWidth="1"/>
    <col min="7" max="7" width="6.75390625" style="12" customWidth="1"/>
    <col min="8" max="8" width="6.75390625" style="11" customWidth="1"/>
    <col min="9" max="9" width="7.25390625" style="13" customWidth="1"/>
    <col min="10" max="10" width="6.75390625" style="11" customWidth="1"/>
    <col min="11" max="11" width="6.75390625" style="13" customWidth="1"/>
  </cols>
  <sheetData>
    <row r="1" spans="1:11" s="1" customFormat="1" ht="12.75">
      <c r="A1" s="1" t="s">
        <v>56</v>
      </c>
      <c r="B1" s="2"/>
      <c r="C1" s="2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2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6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46</v>
      </c>
      <c r="B4" s="6"/>
      <c r="C4" s="6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6"/>
      <c r="D5" s="6"/>
      <c r="E5" s="7"/>
      <c r="F5" s="6"/>
      <c r="G5" s="7"/>
      <c r="H5" s="6"/>
      <c r="I5" s="8"/>
      <c r="J5" s="9"/>
      <c r="K5" s="10"/>
    </row>
    <row r="6" spans="1:11" s="5" customFormat="1" ht="12.75">
      <c r="A6" s="5" t="s">
        <v>3</v>
      </c>
      <c r="B6" s="6"/>
      <c r="C6" s="6"/>
      <c r="D6" s="6"/>
      <c r="E6" s="7"/>
      <c r="F6" s="6"/>
      <c r="G6" s="7"/>
      <c r="H6" s="6"/>
      <c r="I6" s="8"/>
      <c r="J6" s="9"/>
      <c r="K6" s="10"/>
    </row>
    <row r="8" spans="2:5" ht="12.75">
      <c r="B8" s="11" t="s">
        <v>4</v>
      </c>
      <c r="C8" s="11">
        <v>2005</v>
      </c>
      <c r="D8" s="17">
        <v>65650</v>
      </c>
      <c r="E8" s="12" t="s">
        <v>5</v>
      </c>
    </row>
    <row r="9" spans="2:6" ht="15.75">
      <c r="B9" s="11" t="s">
        <v>6</v>
      </c>
      <c r="C9" s="11">
        <v>650</v>
      </c>
      <c r="E9" s="11" t="s">
        <v>7</v>
      </c>
      <c r="F9" s="11">
        <f>(C9/C12*100)</f>
        <v>23.423423423423422</v>
      </c>
    </row>
    <row r="10" spans="2:11" ht="15.75">
      <c r="B10" s="11" t="s">
        <v>8</v>
      </c>
      <c r="C10" s="11">
        <v>2100</v>
      </c>
      <c r="E10" s="11" t="s">
        <v>9</v>
      </c>
      <c r="F10" s="11">
        <f>(6.9+(-1.4+0.1*F9))/100</f>
        <v>0.07842342342342343</v>
      </c>
      <c r="H10" s="11" t="s">
        <v>10</v>
      </c>
      <c r="I10" s="13">
        <f>(C10+C11)*F10</f>
        <v>166.64977477477478</v>
      </c>
      <c r="J10" s="11" t="s">
        <v>11</v>
      </c>
      <c r="K10" s="13">
        <f>(C10+C11)-I10</f>
        <v>1958.3502252252251</v>
      </c>
    </row>
    <row r="11" spans="2:11" ht="15.75">
      <c r="B11" s="11" t="s">
        <v>12</v>
      </c>
      <c r="C11" s="11">
        <v>25</v>
      </c>
      <c r="E11" s="11" t="s">
        <v>13</v>
      </c>
      <c r="F11" s="11">
        <f>(10+(-2.2+0.1*F9))/100</f>
        <v>0.10142342342342342</v>
      </c>
      <c r="H11" s="11" t="s">
        <v>14</v>
      </c>
      <c r="I11" s="13">
        <f>(C9)*F11</f>
        <v>65.92522522522522</v>
      </c>
      <c r="J11" s="11" t="s">
        <v>15</v>
      </c>
      <c r="K11" s="13">
        <f>C9-I11</f>
        <v>584.0747747747748</v>
      </c>
    </row>
    <row r="12" spans="2:3" ht="12.75">
      <c r="B12" s="11" t="s">
        <v>16</v>
      </c>
      <c r="C12" s="11">
        <f>SUM(C9:C11)</f>
        <v>2775</v>
      </c>
    </row>
    <row r="13" spans="2:11" ht="15.75">
      <c r="B13" s="11" t="s">
        <v>17</v>
      </c>
      <c r="C13" s="11">
        <v>90</v>
      </c>
      <c r="D13" s="11">
        <v>75</v>
      </c>
      <c r="H13" s="11" t="s">
        <v>18</v>
      </c>
      <c r="I13" s="13">
        <f>K10/18</f>
        <v>108.79723473473473</v>
      </c>
      <c r="J13" s="11" t="s">
        <v>19</v>
      </c>
      <c r="K13" s="13">
        <f>K11/18</f>
        <v>32.4485985985986</v>
      </c>
    </row>
    <row r="14" spans="8:11" ht="15.75">
      <c r="H14" s="11" t="s">
        <v>20</v>
      </c>
      <c r="I14" s="13">
        <f>I10/6</f>
        <v>27.774962462462465</v>
      </c>
      <c r="J14" s="11" t="s">
        <v>21</v>
      </c>
      <c r="K14" s="13">
        <f>I11/6</f>
        <v>10.987537537537536</v>
      </c>
    </row>
    <row r="16" spans="2:5" ht="15.75">
      <c r="B16" s="11" t="s">
        <v>22</v>
      </c>
      <c r="C16" s="11">
        <v>74.1</v>
      </c>
      <c r="D16" s="11" t="s">
        <v>23</v>
      </c>
      <c r="E16" s="12">
        <v>0.001519</v>
      </c>
    </row>
    <row r="17" spans="2:5" ht="15.75">
      <c r="B17" s="11" t="s">
        <v>24</v>
      </c>
      <c r="C17" s="11">
        <v>80.2</v>
      </c>
      <c r="D17" s="11" t="s">
        <v>25</v>
      </c>
      <c r="E17" s="12">
        <v>0.002122</v>
      </c>
    </row>
    <row r="20" spans="2:10" ht="15.75">
      <c r="B20" s="11" t="s">
        <v>26</v>
      </c>
      <c r="C20" s="11">
        <f>I13*E16*25703958+K13*E17*104712850</f>
        <v>11458013.474235155</v>
      </c>
      <c r="D20" s="11" t="s">
        <v>27</v>
      </c>
      <c r="F20" s="11" t="s">
        <v>28</v>
      </c>
      <c r="G20" s="12">
        <v>1.21</v>
      </c>
      <c r="H20" s="11" t="s">
        <v>51</v>
      </c>
      <c r="I20" s="12" t="s">
        <v>30</v>
      </c>
      <c r="J20" s="11" t="s">
        <v>31</v>
      </c>
    </row>
    <row r="21" spans="2:10" ht="15.75">
      <c r="B21" s="11" t="s">
        <v>26</v>
      </c>
      <c r="C21" s="11">
        <f>I14*E16*25703958+K14*E17*104712850</f>
        <v>3525892.4830028694</v>
      </c>
      <c r="D21" s="11" t="s">
        <v>32</v>
      </c>
      <c r="F21" s="11" t="s">
        <v>33</v>
      </c>
      <c r="G21" s="12">
        <v>1.1</v>
      </c>
      <c r="H21" s="11" t="s">
        <v>34</v>
      </c>
      <c r="I21" s="12" t="s">
        <v>35</v>
      </c>
      <c r="J21" s="11" t="s">
        <v>36</v>
      </c>
    </row>
    <row r="22" ht="12.75">
      <c r="L22" s="11"/>
    </row>
    <row r="23" spans="2:3" ht="15.75">
      <c r="B23" s="11" t="s">
        <v>37</v>
      </c>
      <c r="C23" s="11" t="s">
        <v>38</v>
      </c>
    </row>
    <row r="24" spans="2:7" ht="12.75">
      <c r="B24" s="11" t="s">
        <v>37</v>
      </c>
      <c r="C24" s="11">
        <f>C20*G20*G21</f>
        <v>15250615.93420699</v>
      </c>
      <c r="D24" s="11" t="s">
        <v>27</v>
      </c>
      <c r="F24" s="11" t="s">
        <v>39</v>
      </c>
      <c r="G24" s="14">
        <f>10*LOG10(C24)-10.1</f>
        <v>61.732873841041474</v>
      </c>
    </row>
    <row r="25" spans="2:7" ht="12.75">
      <c r="B25" s="11" t="s">
        <v>37</v>
      </c>
      <c r="C25" s="11">
        <f>C21*G21*G20</f>
        <v>4692962.89487682</v>
      </c>
      <c r="D25" s="11" t="s">
        <v>32</v>
      </c>
      <c r="F25" s="11" t="s">
        <v>39</v>
      </c>
      <c r="G25" s="14">
        <f>10*LOG10(C25)-10.1</f>
        <v>56.61447120457125</v>
      </c>
    </row>
    <row r="26" ht="12.75">
      <c r="G26" s="14"/>
    </row>
    <row r="27" spans="2:3" ht="12.75">
      <c r="B27" s="12" t="s">
        <v>47</v>
      </c>
      <c r="C27" s="12"/>
    </row>
    <row r="28" spans="2:5" ht="12.75">
      <c r="B28" s="11" t="s">
        <v>41</v>
      </c>
      <c r="C28" s="12" t="s">
        <v>48</v>
      </c>
      <c r="D28" s="11" t="s">
        <v>43</v>
      </c>
      <c r="E28" s="12">
        <v>1.5</v>
      </c>
    </row>
    <row r="29" spans="2:3" ht="12.75">
      <c r="B29" s="11" t="s">
        <v>41</v>
      </c>
      <c r="C29" s="12">
        <f>8.78*LOG10((F31*F31+20.25)/76.5)</f>
        <v>2.338351247346398</v>
      </c>
    </row>
    <row r="30" spans="2:3" ht="12.75">
      <c r="B30" s="11" t="s">
        <v>41</v>
      </c>
      <c r="C30" s="12">
        <f>8.78*LOG10((F32*F32+20.25)/76.5)</f>
        <v>6.8508140084385225</v>
      </c>
    </row>
    <row r="31" spans="2:7" ht="14.25">
      <c r="B31" s="2" t="s">
        <v>49</v>
      </c>
      <c r="C31" s="16">
        <f>G24-C29</f>
        <v>59.39452259369508</v>
      </c>
      <c r="D31" s="2" t="s">
        <v>27</v>
      </c>
      <c r="E31" s="11" t="s">
        <v>44</v>
      </c>
      <c r="F31" s="11">
        <v>11</v>
      </c>
      <c r="G31" s="11">
        <v>21</v>
      </c>
    </row>
    <row r="32" spans="2:7" ht="14.25">
      <c r="B32" s="2" t="s">
        <v>50</v>
      </c>
      <c r="C32" s="16">
        <f>G25-C30</f>
        <v>49.763657196132726</v>
      </c>
      <c r="D32" s="2" t="s">
        <v>32</v>
      </c>
      <c r="E32" s="11" t="s">
        <v>44</v>
      </c>
      <c r="F32" s="2">
        <v>21</v>
      </c>
      <c r="G32" s="2">
        <v>40</v>
      </c>
    </row>
  </sheetData>
  <sheetProtection/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&amp;C34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5" sqref="A5:I6"/>
    </sheetView>
  </sheetViews>
  <sheetFormatPr defaultColWidth="9.00390625" defaultRowHeight="12.75"/>
  <cols>
    <col min="1" max="1" width="8.75390625" style="0" customWidth="1"/>
    <col min="2" max="4" width="8.75390625" style="11" customWidth="1"/>
    <col min="5" max="5" width="8.75390625" style="12" customWidth="1"/>
    <col min="6" max="6" width="8.875" style="11" customWidth="1"/>
    <col min="7" max="7" width="6.75390625" style="12" customWidth="1"/>
    <col min="8" max="8" width="6.75390625" style="11" customWidth="1"/>
    <col min="9" max="9" width="7.25390625" style="13" customWidth="1"/>
    <col min="10" max="10" width="6.75390625" style="11" customWidth="1"/>
    <col min="11" max="11" width="6.75390625" style="13" customWidth="1"/>
  </cols>
  <sheetData>
    <row r="1" spans="1:11" s="1" customFormat="1" ht="12.75">
      <c r="A1" s="1" t="s">
        <v>57</v>
      </c>
      <c r="B1" s="2"/>
      <c r="C1" s="2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2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6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1</v>
      </c>
      <c r="B4" s="6"/>
      <c r="C4" s="6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6"/>
      <c r="D5" s="6"/>
      <c r="E5" s="7"/>
      <c r="F5" s="6"/>
      <c r="G5" s="7"/>
      <c r="H5" s="6"/>
      <c r="I5" s="8"/>
      <c r="J5" s="9"/>
      <c r="K5" s="10"/>
    </row>
    <row r="6" spans="1:11" s="5" customFormat="1" ht="12.75">
      <c r="A6" s="5" t="s">
        <v>3</v>
      </c>
      <c r="B6" s="6"/>
      <c r="C6" s="6"/>
      <c r="D6" s="6"/>
      <c r="E6" s="7"/>
      <c r="F6" s="6"/>
      <c r="G6" s="7"/>
      <c r="H6" s="6"/>
      <c r="I6" s="8"/>
      <c r="J6" s="9"/>
      <c r="K6" s="10"/>
    </row>
    <row r="8" spans="2:4" ht="12.75">
      <c r="B8" s="11" t="s">
        <v>4</v>
      </c>
      <c r="C8" s="11">
        <v>2005</v>
      </c>
      <c r="D8" s="17" t="s">
        <v>5</v>
      </c>
    </row>
    <row r="9" spans="2:6" ht="15.75">
      <c r="B9" s="11" t="s">
        <v>6</v>
      </c>
      <c r="C9" s="11">
        <v>50</v>
      </c>
      <c r="E9" s="11" t="s">
        <v>7</v>
      </c>
      <c r="F9" s="11">
        <f>(C9/C12*100)</f>
        <v>17.24137931034483</v>
      </c>
    </row>
    <row r="10" spans="2:11" ht="15.75">
      <c r="B10" s="11" t="s">
        <v>8</v>
      </c>
      <c r="C10" s="11">
        <v>230</v>
      </c>
      <c r="E10" s="11" t="s">
        <v>9</v>
      </c>
      <c r="F10" s="11">
        <f>(6.4+(-2.1+0.2*F9))/100</f>
        <v>0.07748275862068967</v>
      </c>
      <c r="H10" s="11" t="s">
        <v>10</v>
      </c>
      <c r="I10" s="13">
        <f>(C10+C11)*F10</f>
        <v>18.59586206896552</v>
      </c>
      <c r="J10" s="11" t="s">
        <v>11</v>
      </c>
      <c r="K10" s="13">
        <f>(C10+C11)-I10</f>
        <v>221.40413793103448</v>
      </c>
    </row>
    <row r="11" spans="2:11" ht="15.75">
      <c r="B11" s="11" t="s">
        <v>12</v>
      </c>
      <c r="C11" s="11">
        <v>10</v>
      </c>
      <c r="E11" s="11" t="s">
        <v>13</v>
      </c>
      <c r="F11" s="11">
        <f>(7.9)/100</f>
        <v>0.079</v>
      </c>
      <c r="H11" s="11" t="s">
        <v>14</v>
      </c>
      <c r="I11" s="13">
        <f>(C9)*F11</f>
        <v>3.95</v>
      </c>
      <c r="J11" s="11" t="s">
        <v>15</v>
      </c>
      <c r="K11" s="13">
        <f>C9-I11</f>
        <v>46.05</v>
      </c>
    </row>
    <row r="12" spans="2:3" ht="12.75">
      <c r="B12" s="11" t="s">
        <v>16</v>
      </c>
      <c r="C12" s="11">
        <f>SUM(C9:C11)</f>
        <v>290</v>
      </c>
    </row>
    <row r="13" spans="2:11" ht="15.75">
      <c r="B13" s="11" t="s">
        <v>17</v>
      </c>
      <c r="C13" s="11">
        <v>50</v>
      </c>
      <c r="D13" s="11">
        <v>45</v>
      </c>
      <c r="H13" s="11" t="s">
        <v>18</v>
      </c>
      <c r="I13" s="13">
        <f>K10/18</f>
        <v>12.30022988505747</v>
      </c>
      <c r="J13" s="11" t="s">
        <v>19</v>
      </c>
      <c r="K13" s="13">
        <f>K11/18</f>
        <v>2.558333333333333</v>
      </c>
    </row>
    <row r="14" spans="8:11" ht="15.75">
      <c r="H14" s="11" t="s">
        <v>20</v>
      </c>
      <c r="I14" s="13">
        <f>I10/6</f>
        <v>3.0993103448275865</v>
      </c>
      <c r="J14" s="11" t="s">
        <v>21</v>
      </c>
      <c r="K14" s="13">
        <f>I11/6</f>
        <v>0.6583333333333333</v>
      </c>
    </row>
    <row r="15" ht="12.75">
      <c r="T15" s="18"/>
    </row>
    <row r="16" spans="2:5" ht="15.75">
      <c r="B16" s="11" t="s">
        <v>22</v>
      </c>
      <c r="C16" s="11">
        <v>75.6</v>
      </c>
      <c r="D16" s="11" t="s">
        <v>23</v>
      </c>
      <c r="E16" s="12">
        <v>0.0007545</v>
      </c>
    </row>
    <row r="17" spans="2:5" ht="15.75">
      <c r="B17" s="11" t="s">
        <v>24</v>
      </c>
      <c r="C17" s="11">
        <v>82.4</v>
      </c>
      <c r="D17" s="11" t="s">
        <v>25</v>
      </c>
      <c r="E17" s="12">
        <v>0.002236</v>
      </c>
    </row>
    <row r="20" spans="2:10" ht="15.75">
      <c r="B20" s="11" t="s">
        <v>26</v>
      </c>
      <c r="C20" s="11">
        <f>I13*E16*36307805+K13*E17*173780080</f>
        <v>1331052.7979592609</v>
      </c>
      <c r="D20" s="11" t="s">
        <v>27</v>
      </c>
      <c r="F20" s="11" t="s">
        <v>28</v>
      </c>
      <c r="G20" s="12">
        <v>1.13</v>
      </c>
      <c r="H20" s="11" t="s">
        <v>29</v>
      </c>
      <c r="I20" s="12" t="s">
        <v>30</v>
      </c>
      <c r="J20" s="11" t="s">
        <v>31</v>
      </c>
    </row>
    <row r="21" spans="2:10" ht="15.75">
      <c r="B21" s="11" t="s">
        <v>26</v>
      </c>
      <c r="C21" s="11">
        <f>I14*E16*30602954+K14*E17*138038430</f>
        <v>274760.02541047725</v>
      </c>
      <c r="D21" s="11" t="s">
        <v>32</v>
      </c>
      <c r="F21" s="11" t="s">
        <v>33</v>
      </c>
      <c r="G21" s="19">
        <v>1</v>
      </c>
      <c r="H21" s="11" t="s">
        <v>34</v>
      </c>
      <c r="I21" s="12" t="s">
        <v>35</v>
      </c>
      <c r="J21" s="11" t="s">
        <v>36</v>
      </c>
    </row>
    <row r="22" ht="12.75">
      <c r="L22" s="11"/>
    </row>
    <row r="23" spans="2:3" ht="15.75">
      <c r="B23" s="11" t="s">
        <v>37</v>
      </c>
      <c r="C23" s="11" t="s">
        <v>38</v>
      </c>
    </row>
    <row r="24" spans="2:7" ht="12.75">
      <c r="B24" s="11" t="s">
        <v>37</v>
      </c>
      <c r="C24" s="11">
        <f>C20*G20*G21</f>
        <v>1504089.6616939646</v>
      </c>
      <c r="D24" s="11" t="s">
        <v>27</v>
      </c>
      <c r="F24" s="11" t="s">
        <v>39</v>
      </c>
      <c r="G24" s="14">
        <f>10*LOG10(C24)-10.1</f>
        <v>51.67273726161389</v>
      </c>
    </row>
    <row r="25" spans="2:7" ht="12.75">
      <c r="B25" s="11" t="s">
        <v>37</v>
      </c>
      <c r="C25" s="11">
        <f>C21*G21*G20</f>
        <v>310478.82871383923</v>
      </c>
      <c r="D25" s="11" t="s">
        <v>32</v>
      </c>
      <c r="F25" s="11" t="s">
        <v>39</v>
      </c>
      <c r="G25" s="14">
        <f>10*LOG10(C25)-10.1</f>
        <v>44.8203199135243</v>
      </c>
    </row>
    <row r="26" ht="12.75">
      <c r="G26" s="14"/>
    </row>
    <row r="27" ht="12.75">
      <c r="B27" s="12" t="s">
        <v>40</v>
      </c>
    </row>
    <row r="28" spans="2:7" ht="12.75">
      <c r="B28" s="11" t="s">
        <v>41</v>
      </c>
      <c r="C28" s="11" t="s">
        <v>42</v>
      </c>
      <c r="D28" s="11" t="s">
        <v>43</v>
      </c>
      <c r="E28" s="12">
        <v>1.5</v>
      </c>
      <c r="F28" s="11" t="s">
        <v>44</v>
      </c>
      <c r="G28" s="12">
        <v>15</v>
      </c>
    </row>
    <row r="29" spans="2:3" ht="12.75">
      <c r="B29" s="11" t="s">
        <v>41</v>
      </c>
      <c r="C29" s="11">
        <v>2.4</v>
      </c>
    </row>
    <row r="31" spans="2:4" ht="14.25">
      <c r="B31" s="2" t="s">
        <v>45</v>
      </c>
      <c r="C31" s="15">
        <f>G24-2.4</f>
        <v>49.27273726161389</v>
      </c>
      <c r="D31" s="2" t="s">
        <v>27</v>
      </c>
    </row>
    <row r="32" spans="2:4" ht="14.25">
      <c r="B32" s="2" t="s">
        <v>45</v>
      </c>
      <c r="C32" s="15">
        <f>G25-2.4</f>
        <v>42.4203199135243</v>
      </c>
      <c r="D32" s="2" t="s">
        <v>32</v>
      </c>
    </row>
  </sheetData>
  <sheetProtection/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&amp;C35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5" sqref="A5:I6"/>
    </sheetView>
  </sheetViews>
  <sheetFormatPr defaultColWidth="9.00390625" defaultRowHeight="12.75"/>
  <cols>
    <col min="1" max="1" width="8.75390625" style="0" customWidth="1"/>
    <col min="2" max="4" width="8.75390625" style="11" customWidth="1"/>
    <col min="5" max="5" width="8.75390625" style="12" customWidth="1"/>
    <col min="6" max="6" width="8.875" style="11" customWidth="1"/>
    <col min="7" max="7" width="6.75390625" style="12" customWidth="1"/>
    <col min="8" max="8" width="6.75390625" style="11" customWidth="1"/>
    <col min="9" max="9" width="7.25390625" style="13" customWidth="1"/>
    <col min="10" max="10" width="6.75390625" style="11" customWidth="1"/>
    <col min="11" max="11" width="6.75390625" style="13" customWidth="1"/>
  </cols>
  <sheetData>
    <row r="1" spans="1:11" s="1" customFormat="1" ht="12.75">
      <c r="A1" s="1" t="s">
        <v>59</v>
      </c>
      <c r="B1" s="2"/>
      <c r="C1" s="2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2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6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46</v>
      </c>
      <c r="B4" s="6"/>
      <c r="C4" s="6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6"/>
      <c r="D5" s="6"/>
      <c r="E5" s="7"/>
      <c r="F5" s="6"/>
      <c r="G5" s="7"/>
      <c r="H5" s="6"/>
      <c r="I5" s="8"/>
      <c r="J5" s="9"/>
      <c r="K5" s="10"/>
    </row>
    <row r="6" spans="1:11" s="5" customFormat="1" ht="12.75">
      <c r="A6" s="5" t="s">
        <v>3</v>
      </c>
      <c r="B6" s="6"/>
      <c r="C6" s="6"/>
      <c r="D6" s="6"/>
      <c r="E6" s="7"/>
      <c r="F6" s="6"/>
      <c r="G6" s="7"/>
      <c r="H6" s="6"/>
      <c r="I6" s="8"/>
      <c r="J6" s="9"/>
      <c r="K6" s="10"/>
    </row>
    <row r="8" spans="2:4" ht="12.75">
      <c r="B8" s="11" t="s">
        <v>4</v>
      </c>
      <c r="C8" s="11">
        <v>2005</v>
      </c>
      <c r="D8" s="17" t="s">
        <v>5</v>
      </c>
    </row>
    <row r="9" spans="2:6" ht="15.75">
      <c r="B9" s="11" t="s">
        <v>6</v>
      </c>
      <c r="C9" s="11">
        <v>50</v>
      </c>
      <c r="E9" s="11" t="s">
        <v>7</v>
      </c>
      <c r="F9" s="11">
        <f>(C9/C12*100)</f>
        <v>17.24137931034483</v>
      </c>
    </row>
    <row r="10" spans="2:11" ht="15.75">
      <c r="B10" s="11" t="s">
        <v>8</v>
      </c>
      <c r="C10" s="11">
        <v>230</v>
      </c>
      <c r="E10" s="11" t="s">
        <v>9</v>
      </c>
      <c r="F10" s="11">
        <f>(6.9+(-1.4+0.1*F9))/100</f>
        <v>0.07224137931034484</v>
      </c>
      <c r="H10" s="11" t="s">
        <v>10</v>
      </c>
      <c r="I10" s="13">
        <f>(C10+C11)*F10</f>
        <v>17.33793103448276</v>
      </c>
      <c r="J10" s="11" t="s">
        <v>11</v>
      </c>
      <c r="K10" s="13">
        <f>(C10+C11)-I10</f>
        <v>222.66206896551725</v>
      </c>
    </row>
    <row r="11" spans="2:11" ht="15.75">
      <c r="B11" s="11" t="s">
        <v>12</v>
      </c>
      <c r="C11" s="11">
        <v>10</v>
      </c>
      <c r="E11" s="11" t="s">
        <v>13</v>
      </c>
      <c r="F11" s="11">
        <f>(10+(-2.2+0.1*F9))/100</f>
        <v>0.09524137931034483</v>
      </c>
      <c r="H11" s="11" t="s">
        <v>14</v>
      </c>
      <c r="I11" s="13">
        <f>(C9)*F11</f>
        <v>4.7620689655172415</v>
      </c>
      <c r="J11" s="11" t="s">
        <v>15</v>
      </c>
      <c r="K11" s="13">
        <f>C9-I11</f>
        <v>45.237931034482756</v>
      </c>
    </row>
    <row r="12" spans="2:3" ht="12.75">
      <c r="B12" s="11" t="s">
        <v>16</v>
      </c>
      <c r="C12" s="11">
        <f>SUM(C9:C11)</f>
        <v>290</v>
      </c>
    </row>
    <row r="13" spans="2:11" ht="15.75">
      <c r="B13" s="11" t="s">
        <v>17</v>
      </c>
      <c r="C13" s="11">
        <v>90</v>
      </c>
      <c r="D13" s="11">
        <v>75</v>
      </c>
      <c r="H13" s="11" t="s">
        <v>18</v>
      </c>
      <c r="I13" s="13">
        <f>K10/18</f>
        <v>12.370114942528737</v>
      </c>
      <c r="J13" s="11" t="s">
        <v>19</v>
      </c>
      <c r="K13" s="13">
        <f>K11/18</f>
        <v>2.5132183908045977</v>
      </c>
    </row>
    <row r="14" spans="8:11" ht="15.75">
      <c r="H14" s="11" t="s">
        <v>20</v>
      </c>
      <c r="I14" s="13">
        <f>I10/6</f>
        <v>2.8896551724137933</v>
      </c>
      <c r="J14" s="11" t="s">
        <v>21</v>
      </c>
      <c r="K14" s="13">
        <f>I11/6</f>
        <v>0.7936781609195402</v>
      </c>
    </row>
    <row r="16" spans="2:5" ht="15.75">
      <c r="B16" s="11" t="s">
        <v>22</v>
      </c>
      <c r="C16" s="11">
        <v>74.9</v>
      </c>
      <c r="D16" s="11" t="s">
        <v>23</v>
      </c>
      <c r="E16" s="12">
        <v>0.001519</v>
      </c>
    </row>
    <row r="17" spans="2:5" ht="15.75">
      <c r="B17" s="11" t="s">
        <v>24</v>
      </c>
      <c r="C17" s="11">
        <v>81.4</v>
      </c>
      <c r="D17" s="11" t="s">
        <v>25</v>
      </c>
      <c r="E17" s="12">
        <v>0.002122</v>
      </c>
    </row>
    <row r="20" spans="2:10" ht="15.75">
      <c r="B20" s="11" t="s">
        <v>26</v>
      </c>
      <c r="C20" s="11">
        <f>I13*E16*30902954+K13*E17*138038430</f>
        <v>1316838.598112416</v>
      </c>
      <c r="D20" s="11" t="s">
        <v>27</v>
      </c>
      <c r="F20" s="11" t="s">
        <v>28</v>
      </c>
      <c r="G20" s="12">
        <v>1.21</v>
      </c>
      <c r="H20" s="11" t="s">
        <v>51</v>
      </c>
      <c r="I20" s="12" t="s">
        <v>30</v>
      </c>
      <c r="J20" s="11" t="s">
        <v>31</v>
      </c>
    </row>
    <row r="21" spans="2:10" ht="15.75">
      <c r="B21" s="11" t="s">
        <v>26</v>
      </c>
      <c r="C21" s="11">
        <f>I14*E16*30602954+K14*E17*138038430</f>
        <v>366810.44534068275</v>
      </c>
      <c r="D21" s="11" t="s">
        <v>32</v>
      </c>
      <c r="F21" s="11" t="s">
        <v>33</v>
      </c>
      <c r="G21" s="12">
        <v>1.1</v>
      </c>
      <c r="H21" s="11" t="s">
        <v>34</v>
      </c>
      <c r="I21" s="12" t="s">
        <v>35</v>
      </c>
      <c r="J21" s="11" t="s">
        <v>36</v>
      </c>
    </row>
    <row r="22" ht="12.75">
      <c r="L22" s="11"/>
    </row>
    <row r="23" spans="2:3" ht="15.75">
      <c r="B23" s="11" t="s">
        <v>37</v>
      </c>
      <c r="C23" s="11" t="s">
        <v>38</v>
      </c>
    </row>
    <row r="24" spans="2:7" ht="12.75">
      <c r="B24" s="11" t="s">
        <v>37</v>
      </c>
      <c r="C24" s="11">
        <f>C20*G20*G21</f>
        <v>1752712.174087626</v>
      </c>
      <c r="D24" s="11" t="s">
        <v>27</v>
      </c>
      <c r="F24" s="11" t="s">
        <v>39</v>
      </c>
      <c r="G24" s="14">
        <f>10*LOG10(C24)-10.1</f>
        <v>52.33710603219511</v>
      </c>
    </row>
    <row r="25" spans="2:7" ht="12.75">
      <c r="B25" s="11" t="s">
        <v>37</v>
      </c>
      <c r="C25" s="11">
        <f>C21*G21*G20</f>
        <v>488224.70274844876</v>
      </c>
      <c r="D25" s="11" t="s">
        <v>32</v>
      </c>
      <c r="F25" s="11" t="s">
        <v>39</v>
      </c>
      <c r="G25" s="14">
        <f>10*LOG10(C25)-10.1</f>
        <v>46.78619749673396</v>
      </c>
    </row>
    <row r="26" ht="12.75">
      <c r="G26" s="14"/>
    </row>
    <row r="27" spans="2:3" ht="12.75">
      <c r="B27" s="12" t="s">
        <v>47</v>
      </c>
      <c r="C27" s="12"/>
    </row>
    <row r="28" spans="2:5" ht="12.75">
      <c r="B28" s="11" t="s">
        <v>41</v>
      </c>
      <c r="C28" s="12" t="s">
        <v>48</v>
      </c>
      <c r="D28" s="11" t="s">
        <v>43</v>
      </c>
      <c r="E28" s="12">
        <v>1.5</v>
      </c>
    </row>
    <row r="29" spans="2:3" ht="12.75">
      <c r="B29" s="11" t="s">
        <v>41</v>
      </c>
      <c r="C29" s="12">
        <f>8.78*LOG10((F31*F31+20.25)/76.5)</f>
        <v>-2.002216237156832</v>
      </c>
    </row>
    <row r="30" spans="2:3" ht="12.75">
      <c r="B30" s="11" t="s">
        <v>41</v>
      </c>
      <c r="C30" s="12">
        <f>8.78*LOG10((F32*F32+20.25)/76.5)</f>
        <v>2.338351247346398</v>
      </c>
    </row>
    <row r="31" spans="2:6" ht="14.25">
      <c r="B31" s="2" t="s">
        <v>49</v>
      </c>
      <c r="C31" s="16">
        <f>G24-C29</f>
        <v>54.33932226935194</v>
      </c>
      <c r="D31" s="2" t="s">
        <v>27</v>
      </c>
      <c r="E31" s="11" t="s">
        <v>44</v>
      </c>
      <c r="F31" s="11">
        <v>5</v>
      </c>
    </row>
    <row r="32" spans="2:6" ht="14.25">
      <c r="B32" s="2" t="s">
        <v>50</v>
      </c>
      <c r="C32" s="16">
        <f>G25-C30</f>
        <v>44.44784624938757</v>
      </c>
      <c r="D32" s="2" t="s">
        <v>32</v>
      </c>
      <c r="E32" s="11" t="s">
        <v>44</v>
      </c>
      <c r="F32" s="2">
        <v>11</v>
      </c>
    </row>
  </sheetData>
  <sheetProtection/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&amp;C36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5" sqref="A5:I6"/>
    </sheetView>
  </sheetViews>
  <sheetFormatPr defaultColWidth="9.00390625" defaultRowHeight="12.75"/>
  <cols>
    <col min="1" max="1" width="8.75390625" style="0" customWidth="1"/>
    <col min="2" max="4" width="8.75390625" style="11" customWidth="1"/>
    <col min="5" max="5" width="8.75390625" style="12" customWidth="1"/>
    <col min="6" max="6" width="8.875" style="11" customWidth="1"/>
    <col min="7" max="7" width="6.75390625" style="12" customWidth="1"/>
    <col min="8" max="8" width="6.75390625" style="11" customWidth="1"/>
    <col min="9" max="9" width="7.25390625" style="13" customWidth="1"/>
    <col min="10" max="10" width="6.75390625" style="11" customWidth="1"/>
    <col min="11" max="11" width="6.75390625" style="13" customWidth="1"/>
  </cols>
  <sheetData>
    <row r="1" spans="1:11" s="1" customFormat="1" ht="12.75">
      <c r="A1" s="1" t="s">
        <v>58</v>
      </c>
      <c r="B1" s="2"/>
      <c r="C1" s="2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2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6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46</v>
      </c>
      <c r="B4" s="6"/>
      <c r="C4" s="6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6"/>
      <c r="D5" s="6"/>
      <c r="E5" s="7"/>
      <c r="F5" s="6"/>
      <c r="G5" s="7"/>
      <c r="H5" s="6"/>
      <c r="I5" s="8"/>
      <c r="J5" s="9"/>
      <c r="K5" s="10"/>
    </row>
    <row r="6" spans="1:11" s="5" customFormat="1" ht="12.75">
      <c r="A6" s="5" t="s">
        <v>3</v>
      </c>
      <c r="B6" s="6"/>
      <c r="C6" s="6"/>
      <c r="D6" s="6"/>
      <c r="E6" s="7"/>
      <c r="F6" s="6"/>
      <c r="G6" s="7"/>
      <c r="H6" s="6"/>
      <c r="I6" s="8"/>
      <c r="J6" s="9"/>
      <c r="K6" s="10"/>
    </row>
    <row r="8" spans="2:5" ht="12.75">
      <c r="B8" s="11" t="s">
        <v>4</v>
      </c>
      <c r="C8" s="11">
        <v>2005</v>
      </c>
      <c r="D8" s="17" t="s">
        <v>5</v>
      </c>
      <c r="E8" s="12" t="s">
        <v>5</v>
      </c>
    </row>
    <row r="9" spans="2:6" ht="15.75">
      <c r="B9" s="11" t="s">
        <v>6</v>
      </c>
      <c r="C9" s="11">
        <v>65</v>
      </c>
      <c r="E9" s="11" t="s">
        <v>7</v>
      </c>
      <c r="F9" s="11">
        <f>(C9/C12*100)</f>
        <v>18.84057971014493</v>
      </c>
    </row>
    <row r="10" spans="2:11" ht="15.75">
      <c r="B10" s="11" t="s">
        <v>8</v>
      </c>
      <c r="C10" s="11">
        <v>265</v>
      </c>
      <c r="E10" s="11" t="s">
        <v>9</v>
      </c>
      <c r="F10" s="11">
        <f>(6.9+(-1.4+0.1*F9))/100</f>
        <v>0.07384057971014495</v>
      </c>
      <c r="H10" s="11" t="s">
        <v>10</v>
      </c>
      <c r="I10" s="13">
        <f>(C10+C11)*F10</f>
        <v>20.675362318840584</v>
      </c>
      <c r="J10" s="11" t="s">
        <v>11</v>
      </c>
      <c r="K10" s="13">
        <f>(C10+C11)-I10</f>
        <v>259.3246376811594</v>
      </c>
    </row>
    <row r="11" spans="2:11" ht="15.75">
      <c r="B11" s="11" t="s">
        <v>12</v>
      </c>
      <c r="C11" s="11">
        <v>15</v>
      </c>
      <c r="E11" s="11" t="s">
        <v>13</v>
      </c>
      <c r="F11" s="11">
        <f>(10+(-2.2+0.1*F9))/100</f>
        <v>0.09684057971014493</v>
      </c>
      <c r="H11" s="11" t="s">
        <v>14</v>
      </c>
      <c r="I11" s="13">
        <f>(C9)*F11</f>
        <v>6.29463768115942</v>
      </c>
      <c r="J11" s="11" t="s">
        <v>15</v>
      </c>
      <c r="K11" s="13">
        <f>C9-I11</f>
        <v>58.70536231884058</v>
      </c>
    </row>
    <row r="12" spans="2:3" ht="12.75">
      <c r="B12" s="11" t="s">
        <v>16</v>
      </c>
      <c r="C12" s="11">
        <f>SUM(C9:C11)</f>
        <v>345</v>
      </c>
    </row>
    <row r="13" spans="2:11" ht="15.75">
      <c r="B13" s="11" t="s">
        <v>17</v>
      </c>
      <c r="C13" s="11">
        <v>90</v>
      </c>
      <c r="D13" s="11">
        <v>75</v>
      </c>
      <c r="H13" s="11" t="s">
        <v>18</v>
      </c>
      <c r="I13" s="13">
        <f>K10/18</f>
        <v>14.406924315619968</v>
      </c>
      <c r="J13" s="11" t="s">
        <v>19</v>
      </c>
      <c r="K13" s="13">
        <f>K11/18</f>
        <v>3.2614090177133654</v>
      </c>
    </row>
    <row r="14" spans="8:11" ht="15.75">
      <c r="H14" s="11" t="s">
        <v>20</v>
      </c>
      <c r="I14" s="13">
        <f>I10/6</f>
        <v>3.445893719806764</v>
      </c>
      <c r="J14" s="11" t="s">
        <v>21</v>
      </c>
      <c r="K14" s="13">
        <f>I11/6</f>
        <v>1.0491062801932367</v>
      </c>
    </row>
    <row r="16" spans="2:5" ht="15.75">
      <c r="B16" s="11" t="s">
        <v>22</v>
      </c>
      <c r="C16" s="11">
        <v>74.1</v>
      </c>
      <c r="D16" s="11" t="s">
        <v>23</v>
      </c>
      <c r="E16" s="12">
        <v>0.001519</v>
      </c>
    </row>
    <row r="17" spans="2:5" ht="15.75">
      <c r="B17" s="11" t="s">
        <v>24</v>
      </c>
      <c r="C17" s="11">
        <v>80.2</v>
      </c>
      <c r="D17" s="11" t="s">
        <v>25</v>
      </c>
      <c r="E17" s="12">
        <v>0.002122</v>
      </c>
    </row>
    <row r="20" spans="2:10" ht="15.75">
      <c r="B20" s="11" t="s">
        <v>26</v>
      </c>
      <c r="C20" s="11">
        <f>I13*E16*25703958+K13*E17*104712850</f>
        <v>1287195.712228362</v>
      </c>
      <c r="D20" s="11" t="s">
        <v>27</v>
      </c>
      <c r="F20" s="11" t="s">
        <v>28</v>
      </c>
      <c r="G20" s="12">
        <v>1.21</v>
      </c>
      <c r="H20" s="11" t="s">
        <v>51</v>
      </c>
      <c r="I20" s="12" t="s">
        <v>30</v>
      </c>
      <c r="J20" s="11" t="s">
        <v>31</v>
      </c>
    </row>
    <row r="21" spans="2:10" ht="15.75">
      <c r="B21" s="11" t="s">
        <v>26</v>
      </c>
      <c r="C21" s="11">
        <f>I14*E16*25703958+K14*E17*104712850</f>
        <v>367654.66615824687</v>
      </c>
      <c r="D21" s="11" t="s">
        <v>32</v>
      </c>
      <c r="F21" s="11" t="s">
        <v>33</v>
      </c>
      <c r="G21" s="12">
        <v>1.1</v>
      </c>
      <c r="H21" s="11" t="s">
        <v>34</v>
      </c>
      <c r="I21" s="12" t="s">
        <v>35</v>
      </c>
      <c r="J21" s="11" t="s">
        <v>36</v>
      </c>
    </row>
    <row r="22" ht="12.75">
      <c r="L22" s="11"/>
    </row>
    <row r="23" spans="2:3" ht="15.75">
      <c r="B23" s="11" t="s">
        <v>37</v>
      </c>
      <c r="C23" s="11" t="s">
        <v>38</v>
      </c>
    </row>
    <row r="24" spans="2:7" ht="12.75">
      <c r="B24" s="11" t="s">
        <v>37</v>
      </c>
      <c r="C24" s="11">
        <f>C20*G20*G21</f>
        <v>1713257.49297595</v>
      </c>
      <c r="D24" s="11" t="s">
        <v>27</v>
      </c>
      <c r="F24" s="11" t="s">
        <v>39</v>
      </c>
      <c r="G24" s="14">
        <f>10*LOG10(C24)-10.1</f>
        <v>52.238226398917334</v>
      </c>
    </row>
    <row r="25" spans="2:7" ht="12.75">
      <c r="B25" s="11" t="s">
        <v>37</v>
      </c>
      <c r="C25" s="11">
        <f>C21*G21*G20</f>
        <v>489348.36065662664</v>
      </c>
      <c r="D25" s="11" t="s">
        <v>32</v>
      </c>
      <c r="F25" s="11" t="s">
        <v>39</v>
      </c>
      <c r="G25" s="14">
        <f>10*LOG10(C25)-10.1</f>
        <v>46.796181377473964</v>
      </c>
    </row>
    <row r="26" ht="12.75">
      <c r="G26" s="14"/>
    </row>
    <row r="27" spans="2:3" ht="12.75">
      <c r="B27" s="12" t="s">
        <v>47</v>
      </c>
      <c r="C27" s="12"/>
    </row>
    <row r="28" spans="2:5" ht="12.75">
      <c r="B28" s="11" t="s">
        <v>41</v>
      </c>
      <c r="C28" s="12" t="s">
        <v>48</v>
      </c>
      <c r="D28" s="11" t="s">
        <v>43</v>
      </c>
      <c r="E28" s="12">
        <v>1.5</v>
      </c>
    </row>
    <row r="29" spans="2:3" ht="12.75">
      <c r="B29" s="11" t="s">
        <v>41</v>
      </c>
      <c r="C29" s="12">
        <f>8.78*LOG10((F31*F31+20.25)/76.5)</f>
        <v>-2.002216237156832</v>
      </c>
    </row>
    <row r="30" spans="2:3" ht="12.75">
      <c r="B30" s="11" t="s">
        <v>41</v>
      </c>
      <c r="C30" s="12">
        <f>8.78*LOG10((F32*F32+20.25)/76.5)</f>
        <v>2.338351247346398</v>
      </c>
    </row>
    <row r="31" spans="2:6" ht="14.25">
      <c r="B31" s="2" t="s">
        <v>49</v>
      </c>
      <c r="C31" s="16">
        <f>G24-C29</f>
        <v>54.240442636074164</v>
      </c>
      <c r="D31" s="2" t="s">
        <v>27</v>
      </c>
      <c r="E31" s="11" t="s">
        <v>44</v>
      </c>
      <c r="F31" s="11">
        <v>5</v>
      </c>
    </row>
    <row r="32" spans="2:6" ht="14.25">
      <c r="B32" s="2" t="s">
        <v>50</v>
      </c>
      <c r="C32" s="16">
        <f>G25-C30</f>
        <v>44.45783013012757</v>
      </c>
      <c r="D32" s="2" t="s">
        <v>32</v>
      </c>
      <c r="E32" s="11" t="s">
        <v>44</v>
      </c>
      <c r="F32" s="2">
        <v>11</v>
      </c>
    </row>
  </sheetData>
  <sheetProtection/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&amp;C37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5" sqref="A5:I6"/>
    </sheetView>
  </sheetViews>
  <sheetFormatPr defaultColWidth="9.00390625" defaultRowHeight="12.75"/>
  <cols>
    <col min="1" max="1" width="8.75390625" style="0" customWidth="1"/>
    <col min="2" max="4" width="8.75390625" style="11" customWidth="1"/>
    <col min="5" max="5" width="8.75390625" style="12" customWidth="1"/>
    <col min="6" max="6" width="8.875" style="11" customWidth="1"/>
    <col min="7" max="7" width="6.75390625" style="12" customWidth="1"/>
    <col min="8" max="8" width="6.75390625" style="11" customWidth="1"/>
    <col min="9" max="9" width="7.25390625" style="13" customWidth="1"/>
    <col min="10" max="10" width="6.75390625" style="11" customWidth="1"/>
    <col min="11" max="11" width="6.75390625" style="13" customWidth="1"/>
  </cols>
  <sheetData>
    <row r="1" spans="1:11" s="1" customFormat="1" ht="12.75">
      <c r="A1" s="1" t="s">
        <v>60</v>
      </c>
      <c r="B1" s="2"/>
      <c r="C1" s="2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2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6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46</v>
      </c>
      <c r="B4" s="6"/>
      <c r="C4" s="6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6"/>
      <c r="D5" s="6"/>
      <c r="E5" s="7"/>
      <c r="F5" s="6"/>
      <c r="G5" s="7"/>
      <c r="H5" s="6"/>
      <c r="I5" s="8"/>
      <c r="J5" s="9"/>
      <c r="K5" s="10"/>
    </row>
    <row r="6" spans="1:11" s="5" customFormat="1" ht="12.75">
      <c r="A6" s="5" t="s">
        <v>3</v>
      </c>
      <c r="B6" s="6"/>
      <c r="C6" s="6"/>
      <c r="D6" s="6"/>
      <c r="E6" s="7"/>
      <c r="F6" s="6"/>
      <c r="G6" s="7"/>
      <c r="H6" s="6"/>
      <c r="I6" s="8"/>
      <c r="J6" s="9"/>
      <c r="K6" s="10"/>
    </row>
    <row r="8" spans="2:4" ht="12.75">
      <c r="B8" s="11" t="s">
        <v>4</v>
      </c>
      <c r="C8" s="11">
        <v>2005</v>
      </c>
      <c r="D8" s="17" t="s">
        <v>5</v>
      </c>
    </row>
    <row r="9" spans="2:6" ht="15.75">
      <c r="B9" s="11" t="s">
        <v>6</v>
      </c>
      <c r="C9" s="11">
        <v>75</v>
      </c>
      <c r="E9" s="11" t="s">
        <v>7</v>
      </c>
      <c r="F9" s="11">
        <f>(C9/C12*100)</f>
        <v>17.162471395881006</v>
      </c>
    </row>
    <row r="10" spans="2:11" ht="15.75">
      <c r="B10" s="11" t="s">
        <v>8</v>
      </c>
      <c r="C10" s="11">
        <v>350</v>
      </c>
      <c r="E10" s="11" t="s">
        <v>9</v>
      </c>
      <c r="F10" s="11">
        <f>(6.9+(-1.4+0.1*F9))/100</f>
        <v>0.07216247139588101</v>
      </c>
      <c r="H10" s="11" t="s">
        <v>10</v>
      </c>
      <c r="I10" s="13">
        <f>(C10+C11)*F10</f>
        <v>26.122814645308928</v>
      </c>
      <c r="J10" s="11" t="s">
        <v>11</v>
      </c>
      <c r="K10" s="13">
        <f>(C10+C11)-I10</f>
        <v>335.87718535469105</v>
      </c>
    </row>
    <row r="11" spans="2:11" ht="15.75">
      <c r="B11" s="11" t="s">
        <v>12</v>
      </c>
      <c r="C11" s="11">
        <v>12</v>
      </c>
      <c r="E11" s="11" t="s">
        <v>13</v>
      </c>
      <c r="F11" s="11">
        <f>(10+(-2.2+0.1*F9))/100</f>
        <v>0.09516247139588101</v>
      </c>
      <c r="H11" s="11" t="s">
        <v>14</v>
      </c>
      <c r="I11" s="13">
        <f>(C9)*F11</f>
        <v>7.137185354691075</v>
      </c>
      <c r="J11" s="11" t="s">
        <v>15</v>
      </c>
      <c r="K11" s="13">
        <f>C9-I11</f>
        <v>67.86281464530893</v>
      </c>
    </row>
    <row r="12" spans="2:3" ht="12.75">
      <c r="B12" s="11" t="s">
        <v>16</v>
      </c>
      <c r="C12" s="11">
        <f>SUM(C9:C11)</f>
        <v>437</v>
      </c>
    </row>
    <row r="13" spans="2:11" ht="15.75">
      <c r="B13" s="11" t="s">
        <v>17</v>
      </c>
      <c r="C13" s="11">
        <v>90</v>
      </c>
      <c r="D13" s="11">
        <v>75</v>
      </c>
      <c r="H13" s="11" t="s">
        <v>18</v>
      </c>
      <c r="I13" s="13">
        <f>K10/18</f>
        <v>18.65984363081617</v>
      </c>
      <c r="J13" s="11" t="s">
        <v>19</v>
      </c>
      <c r="K13" s="13">
        <f>K11/18</f>
        <v>3.7701563691838293</v>
      </c>
    </row>
    <row r="14" spans="8:11" ht="15.75">
      <c r="H14" s="11" t="s">
        <v>20</v>
      </c>
      <c r="I14" s="13">
        <f>I10/6</f>
        <v>4.353802440884821</v>
      </c>
      <c r="J14" s="11" t="s">
        <v>21</v>
      </c>
      <c r="K14" s="13">
        <f>I11/6</f>
        <v>1.1895308924485126</v>
      </c>
    </row>
    <row r="16" spans="2:5" ht="15.75">
      <c r="B16" s="11" t="s">
        <v>22</v>
      </c>
      <c r="C16" s="11">
        <v>74.9</v>
      </c>
      <c r="D16" s="11" t="s">
        <v>23</v>
      </c>
      <c r="E16" s="12">
        <v>0.001519</v>
      </c>
    </row>
    <row r="17" spans="2:5" ht="15.75">
      <c r="B17" s="11" t="s">
        <v>24</v>
      </c>
      <c r="C17" s="11">
        <v>81.4</v>
      </c>
      <c r="D17" s="11" t="s">
        <v>25</v>
      </c>
      <c r="E17" s="12">
        <v>0.002122</v>
      </c>
    </row>
    <row r="20" spans="2:10" ht="15.75">
      <c r="B20" s="11" t="s">
        <v>26</v>
      </c>
      <c r="C20" s="11">
        <f>I13*E16*30902954+K13*E17*138038430</f>
        <v>1980267.6365256754</v>
      </c>
      <c r="D20" s="11" t="s">
        <v>27</v>
      </c>
      <c r="F20" s="11" t="s">
        <v>28</v>
      </c>
      <c r="G20" s="12">
        <v>1.21</v>
      </c>
      <c r="H20" s="11" t="s">
        <v>51</v>
      </c>
      <c r="I20" s="12" t="s">
        <v>30</v>
      </c>
      <c r="J20" s="11" t="s">
        <v>31</v>
      </c>
    </row>
    <row r="21" spans="2:10" ht="15.75">
      <c r="B21" s="11" t="s">
        <v>26</v>
      </c>
      <c r="C21" s="11">
        <f>I14*E16*30602954+K14*E17*138038430</f>
        <v>550824.8416693293</v>
      </c>
      <c r="D21" s="11" t="s">
        <v>32</v>
      </c>
      <c r="F21" s="11" t="s">
        <v>33</v>
      </c>
      <c r="G21" s="12">
        <v>1.1</v>
      </c>
      <c r="H21" s="11" t="s">
        <v>34</v>
      </c>
      <c r="I21" s="12" t="s">
        <v>35</v>
      </c>
      <c r="J21" s="11" t="s">
        <v>36</v>
      </c>
    </row>
    <row r="22" ht="12.75">
      <c r="L22" s="11"/>
    </row>
    <row r="23" spans="2:3" ht="15.75">
      <c r="B23" s="11" t="s">
        <v>37</v>
      </c>
      <c r="C23" s="11" t="s">
        <v>38</v>
      </c>
    </row>
    <row r="24" spans="2:7" ht="12.75">
      <c r="B24" s="11" t="s">
        <v>37</v>
      </c>
      <c r="C24" s="11">
        <f>C20*G20*G21</f>
        <v>2635736.2242156737</v>
      </c>
      <c r="D24" s="11" t="s">
        <v>27</v>
      </c>
      <c r="F24" s="11" t="s">
        <v>39</v>
      </c>
      <c r="G24" s="14">
        <f>10*LOG10(C24)-10.1</f>
        <v>54.109019453379</v>
      </c>
    </row>
    <row r="25" spans="2:7" ht="12.75">
      <c r="B25" s="11" t="s">
        <v>37</v>
      </c>
      <c r="C25" s="11">
        <f>C21*G21*G20</f>
        <v>733147.8642618774</v>
      </c>
      <c r="D25" s="11" t="s">
        <v>32</v>
      </c>
      <c r="F25" s="11" t="s">
        <v>39</v>
      </c>
      <c r="G25" s="14">
        <f>10*LOG10(C25)-10.1</f>
        <v>48.55191573763682</v>
      </c>
    </row>
    <row r="26" ht="12.75">
      <c r="G26" s="14"/>
    </row>
    <row r="27" spans="2:3" ht="12.75">
      <c r="B27" s="12" t="s">
        <v>47</v>
      </c>
      <c r="C27" s="12"/>
    </row>
    <row r="28" spans="2:5" ht="12.75">
      <c r="B28" s="11" t="s">
        <v>41</v>
      </c>
      <c r="C28" s="12" t="s">
        <v>48</v>
      </c>
      <c r="D28" s="11" t="s">
        <v>43</v>
      </c>
      <c r="E28" s="12">
        <v>1.5</v>
      </c>
    </row>
    <row r="29" spans="2:3" ht="12.75">
      <c r="B29" s="11" t="s">
        <v>41</v>
      </c>
      <c r="C29" s="12">
        <f>8.78*LOG10((F31*F31+20.25)/76.5)</f>
        <v>-0.37966175212241404</v>
      </c>
    </row>
    <row r="30" spans="2:3" ht="12.75">
      <c r="B30" s="11" t="s">
        <v>41</v>
      </c>
      <c r="C30" s="12">
        <f>8.78*LOG10((F32*F32+20.25)/76.5)</f>
        <v>3.9623672990327963</v>
      </c>
    </row>
    <row r="31" spans="2:6" ht="14.25">
      <c r="B31" s="2" t="s">
        <v>49</v>
      </c>
      <c r="C31" s="16">
        <f>G24-C29</f>
        <v>54.488681205501415</v>
      </c>
      <c r="D31" s="2" t="s">
        <v>27</v>
      </c>
      <c r="E31" s="11" t="s">
        <v>44</v>
      </c>
      <c r="F31" s="11">
        <v>7</v>
      </c>
    </row>
    <row r="32" spans="2:6" ht="14.25">
      <c r="B32" s="2" t="s">
        <v>50</v>
      </c>
      <c r="C32" s="16">
        <f>G25-C30</f>
        <v>44.58954843860402</v>
      </c>
      <c r="D32" s="2" t="s">
        <v>32</v>
      </c>
      <c r="E32" s="11" t="s">
        <v>44</v>
      </c>
      <c r="F32" s="2">
        <v>14</v>
      </c>
    </row>
  </sheetData>
  <sheetProtection/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Uxa</dc:creator>
  <cp:keywords/>
  <dc:description/>
  <cp:lastModifiedBy>lada</cp:lastModifiedBy>
  <cp:lastPrinted>2011-05-19T09:47:46Z</cp:lastPrinted>
  <dcterms:created xsi:type="dcterms:W3CDTF">2009-09-21T19:54:37Z</dcterms:created>
  <dcterms:modified xsi:type="dcterms:W3CDTF">2011-05-19T09:52:28Z</dcterms:modified>
  <cp:category/>
  <cp:version/>
  <cp:contentType/>
  <cp:contentStatus/>
</cp:coreProperties>
</file>