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tabRatio="827" activeTab="5"/>
  </bookViews>
  <sheets>
    <sheet name="III 36068" sheetId="1" r:id="rId1"/>
    <sheet name="III 36078" sheetId="2" r:id="rId2"/>
    <sheet name="36068 IZ05" sheetId="3" r:id="rId3"/>
    <sheet name="36078 IZ05 " sheetId="4" r:id="rId4"/>
    <sheet name="36068 IZ25" sheetId="5" r:id="rId5"/>
    <sheet name="36078 IZ25" sheetId="6" r:id="rId6"/>
  </sheets>
  <definedNames/>
  <calcPr fullCalcOnLoad="1"/>
</workbook>
</file>

<file path=xl/sharedStrings.xml><?xml version="1.0" encoding="utf-8"?>
<sst xmlns="http://schemas.openxmlformats.org/spreadsheetml/2006/main" count="354" uniqueCount="61">
  <si>
    <t xml:space="preserve">Výpočet byl zpracován dle novelizované metodiky pro výpočet hluku ze silniční dopravy, </t>
  </si>
  <si>
    <t>zpracované RNDr. Milošem Liberkem a kolektivem- Praha, 2004</t>
  </si>
  <si>
    <t>s ohledem na informativní charakter výpočtu a zobecněná vstupní data nejsou dále uvažovány</t>
  </si>
  <si>
    <t>podrobnější korekce ve smyslu metodiky</t>
  </si>
  <si>
    <t>rok</t>
  </si>
  <si>
    <t>T</t>
  </si>
  <si>
    <t>O</t>
  </si>
  <si>
    <t>M</t>
  </si>
  <si>
    <t>S</t>
  </si>
  <si>
    <t>v (km/h)</t>
  </si>
  <si>
    <t>den</t>
  </si>
  <si>
    <t>2-3%</t>
  </si>
  <si>
    <t>sklon</t>
  </si>
  <si>
    <t>nivelety</t>
  </si>
  <si>
    <t>noc</t>
  </si>
  <si>
    <t xml:space="preserve">AB </t>
  </si>
  <si>
    <t>obrusná</t>
  </si>
  <si>
    <t>vrstva</t>
  </si>
  <si>
    <t>X</t>
  </si>
  <si>
    <t>Y</t>
  </si>
  <si>
    <t>korekce vzdálenosti 15 m</t>
  </si>
  <si>
    <t xml:space="preserve">U </t>
  </si>
  <si>
    <t>odrazivý t.</t>
  </si>
  <si>
    <t>H(m)</t>
  </si>
  <si>
    <t>d(m)</t>
  </si>
  <si>
    <t>zpracované IRNDr. Milošem Liberkem a kolektivem- Praha, 2004</t>
  </si>
  <si>
    <t>výpočet izofony</t>
  </si>
  <si>
    <t>pohltivý t.</t>
  </si>
  <si>
    <r>
      <t>P</t>
    </r>
    <r>
      <rPr>
        <vertAlign val="subscript"/>
        <sz val="10"/>
        <rFont val="Arial CE"/>
        <family val="2"/>
      </rPr>
      <t>NA</t>
    </r>
  </si>
  <si>
    <r>
      <t xml:space="preserve">PO </t>
    </r>
    <r>
      <rPr>
        <vertAlign val="subscript"/>
        <sz val="10"/>
        <rFont val="Arial CE"/>
        <family val="2"/>
      </rPr>
      <t>noc</t>
    </r>
  </si>
  <si>
    <r>
      <t xml:space="preserve">IO </t>
    </r>
    <r>
      <rPr>
        <vertAlign val="subscript"/>
        <sz val="10"/>
        <rFont val="Arial CE"/>
        <family val="2"/>
      </rPr>
      <t>noc</t>
    </r>
  </si>
  <si>
    <r>
      <t>IO</t>
    </r>
    <r>
      <rPr>
        <vertAlign val="subscript"/>
        <sz val="10"/>
        <rFont val="Arial CE"/>
        <family val="2"/>
      </rPr>
      <t>den</t>
    </r>
  </si>
  <si>
    <r>
      <t xml:space="preserve">PN </t>
    </r>
    <r>
      <rPr>
        <vertAlign val="subscript"/>
        <sz val="10"/>
        <rFont val="Arial CE"/>
        <family val="2"/>
      </rPr>
      <t>noc</t>
    </r>
  </si>
  <si>
    <r>
      <t xml:space="preserve">IN </t>
    </r>
    <r>
      <rPr>
        <vertAlign val="subscript"/>
        <sz val="10"/>
        <rFont val="Arial CE"/>
        <family val="2"/>
      </rPr>
      <t>noc</t>
    </r>
  </si>
  <si>
    <r>
      <t>IN</t>
    </r>
    <r>
      <rPr>
        <vertAlign val="subscript"/>
        <sz val="10"/>
        <rFont val="Arial CE"/>
        <family val="2"/>
      </rPr>
      <t>den</t>
    </r>
  </si>
  <si>
    <r>
      <t>n</t>
    </r>
    <r>
      <rPr>
        <vertAlign val="subscript"/>
        <sz val="10"/>
        <rFont val="Arial CE"/>
        <family val="2"/>
      </rPr>
      <t>OAd</t>
    </r>
  </si>
  <si>
    <r>
      <t>n</t>
    </r>
    <r>
      <rPr>
        <vertAlign val="subscript"/>
        <sz val="10"/>
        <rFont val="Arial CE"/>
        <family val="2"/>
      </rPr>
      <t>NAd</t>
    </r>
  </si>
  <si>
    <r>
      <t>n</t>
    </r>
    <r>
      <rPr>
        <vertAlign val="subscript"/>
        <sz val="10"/>
        <rFont val="Arial CE"/>
        <family val="2"/>
      </rPr>
      <t>OAn</t>
    </r>
  </si>
  <si>
    <r>
      <t>n</t>
    </r>
    <r>
      <rPr>
        <vertAlign val="subscript"/>
        <sz val="10"/>
        <rFont val="Arial CE"/>
        <family val="2"/>
      </rPr>
      <t>NAn</t>
    </r>
  </si>
  <si>
    <r>
      <t>L</t>
    </r>
    <r>
      <rPr>
        <vertAlign val="subscript"/>
        <sz val="10"/>
        <rFont val="Arial CE"/>
        <family val="2"/>
      </rPr>
      <t>OA</t>
    </r>
  </si>
  <si>
    <r>
      <t>F</t>
    </r>
    <r>
      <rPr>
        <vertAlign val="subscript"/>
        <sz val="10"/>
        <rFont val="Arial CE"/>
        <family val="2"/>
      </rPr>
      <t>vOA</t>
    </r>
  </si>
  <si>
    <r>
      <t>L</t>
    </r>
    <r>
      <rPr>
        <vertAlign val="subscript"/>
        <sz val="10"/>
        <rFont val="Arial CE"/>
        <family val="2"/>
      </rPr>
      <t>NA</t>
    </r>
  </si>
  <si>
    <r>
      <t>F</t>
    </r>
    <r>
      <rPr>
        <vertAlign val="subscript"/>
        <sz val="10"/>
        <rFont val="Arial CE"/>
        <family val="2"/>
      </rPr>
      <t>vNA</t>
    </r>
  </si>
  <si>
    <r>
      <t>F</t>
    </r>
    <r>
      <rPr>
        <vertAlign val="subscript"/>
        <sz val="10"/>
        <rFont val="Arial CE"/>
        <family val="2"/>
      </rPr>
      <t>1</t>
    </r>
  </si>
  <si>
    <r>
      <t>F</t>
    </r>
    <r>
      <rPr>
        <vertAlign val="subscript"/>
        <sz val="10"/>
        <rFont val="Arial CE"/>
        <family val="2"/>
      </rPr>
      <t>2</t>
    </r>
  </si>
  <si>
    <r>
      <t>F</t>
    </r>
    <r>
      <rPr>
        <vertAlign val="subscript"/>
        <sz val="10"/>
        <rFont val="Arial CE"/>
        <family val="2"/>
      </rPr>
      <t>3</t>
    </r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</si>
  <si>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3</t>
    </r>
  </si>
  <si>
    <r>
      <t>I</t>
    </r>
    <r>
      <rPr>
        <b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</si>
  <si>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55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</si>
  <si>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45 </t>
    </r>
    <r>
      <rPr>
        <b/>
        <sz val="10"/>
        <rFont val="Arial CE"/>
        <family val="2"/>
      </rPr>
      <t>dB(A)</t>
    </r>
  </si>
  <si>
    <t>odhad</t>
  </si>
  <si>
    <t>AB</t>
  </si>
  <si>
    <r>
      <t>U</t>
    </r>
    <r>
      <rPr>
        <b/>
        <vertAlign val="subscript"/>
        <sz val="10"/>
        <rFont val="Arial CE"/>
        <family val="2"/>
      </rPr>
      <t xml:space="preserve">55 </t>
    </r>
  </si>
  <si>
    <r>
      <t>U</t>
    </r>
    <r>
      <rPr>
        <b/>
        <vertAlign val="subscript"/>
        <sz val="10"/>
        <rFont val="Arial CE"/>
        <family val="2"/>
      </rPr>
      <t>45</t>
    </r>
  </si>
  <si>
    <t>m</t>
  </si>
  <si>
    <t>Výpočet hlukové hladiny silnice  III/36068 v průtahu obce Dolní Lažany</t>
  </si>
  <si>
    <t>Výpočet hlukové hladiny silnice  III/36078 v průtahu obce Dolní Lažany</t>
  </si>
  <si>
    <t>Výpočet izofony -hlukové hladiny silnice III/36068  v katastru obce Dolní Lažany2005</t>
  </si>
  <si>
    <t>Výpočet izofony -hlukové hladiny silnice III/36078  v katastru obce Dolní Lažany 2005</t>
  </si>
  <si>
    <t>Výpočet izofony -hlukové hladiny silnice III/36078  v katastru obce Dolní Lažany 2025</t>
  </si>
  <si>
    <t>Výpočet izofony -hlukové hladiny silnice III/36068  v katastru obce Dolní Lažany 2025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</si>
</sst>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B1">
      <selection activeCell="P16" sqref="P16"/>
    </sheetView>
  </sheetViews>
  <sheetFormatPr defaultColWidth="9.00390625" defaultRowHeight="12.75"/>
  <cols>
    <col min="1" max="1" width="8.75390625" style="0" customWidth="1"/>
    <col min="2" max="4" width="8.75390625" style="13" customWidth="1"/>
    <col min="5" max="5" width="8.75390625" style="14" customWidth="1"/>
    <col min="6" max="6" width="8.875" style="13" customWidth="1"/>
    <col min="7" max="7" width="6.75390625" style="14" customWidth="1"/>
    <col min="8" max="8" width="6.75390625" style="13" customWidth="1"/>
    <col min="9" max="9" width="7.25390625" style="15" customWidth="1"/>
    <col min="10" max="10" width="6.75390625" style="13" customWidth="1"/>
    <col min="11" max="11" width="6.75390625" style="15" customWidth="1"/>
  </cols>
  <sheetData>
    <row r="1" spans="1:11" s="1" customFormat="1" ht="12.75">
      <c r="A1" s="1" t="s">
        <v>55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0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0"/>
      <c r="D6" s="10"/>
      <c r="E6" s="11"/>
      <c r="F6" s="10"/>
      <c r="G6" s="11"/>
      <c r="H6" s="10"/>
      <c r="I6" s="12"/>
      <c r="J6" s="10"/>
      <c r="K6" s="12"/>
    </row>
    <row r="8" spans="2:4" ht="12.75">
      <c r="B8" s="13" t="s">
        <v>4</v>
      </c>
      <c r="C8" s="13">
        <v>2005</v>
      </c>
      <c r="D8" s="13" t="s">
        <v>50</v>
      </c>
    </row>
    <row r="9" spans="2:6" ht="15.75">
      <c r="B9" s="13" t="s">
        <v>5</v>
      </c>
      <c r="C9" s="13">
        <v>70</v>
      </c>
      <c r="E9" s="13" t="s">
        <v>28</v>
      </c>
      <c r="F9" s="13">
        <f>(C9/C12*100)</f>
        <v>18.421052631578945</v>
      </c>
    </row>
    <row r="10" spans="2:11" ht="15.75">
      <c r="B10" s="13" t="s">
        <v>6</v>
      </c>
      <c r="C10" s="13">
        <v>300</v>
      </c>
      <c r="E10" s="13" t="s">
        <v>29</v>
      </c>
      <c r="F10" s="13">
        <f>(6.4+(-2.1+0.2*F9))/100</f>
        <v>0.0798421052631579</v>
      </c>
      <c r="H10" s="13" t="s">
        <v>30</v>
      </c>
      <c r="I10" s="15">
        <f>(C10+C11)*F10</f>
        <v>24.751052631578947</v>
      </c>
      <c r="J10" s="13" t="s">
        <v>31</v>
      </c>
      <c r="K10" s="15">
        <f>(C10+C11)-I10</f>
        <v>285.24894736842106</v>
      </c>
    </row>
    <row r="11" spans="2:11" ht="15.75">
      <c r="B11" s="13" t="s">
        <v>7</v>
      </c>
      <c r="C11" s="13">
        <v>10</v>
      </c>
      <c r="E11" s="13" t="s">
        <v>32</v>
      </c>
      <c r="F11" s="13">
        <f>(7.9)/100</f>
        <v>0.079</v>
      </c>
      <c r="H11" s="13" t="s">
        <v>33</v>
      </c>
      <c r="I11" s="15">
        <f>(C9)*F11</f>
        <v>5.53</v>
      </c>
      <c r="J11" s="13" t="s">
        <v>34</v>
      </c>
      <c r="K11" s="15">
        <f>C9-I11</f>
        <v>64.47</v>
      </c>
    </row>
    <row r="12" spans="2:3" ht="12.75">
      <c r="B12" s="13" t="s">
        <v>8</v>
      </c>
      <c r="C12" s="13">
        <f>SUM(C9:C11)</f>
        <v>380</v>
      </c>
    </row>
    <row r="13" spans="2:11" ht="15.75">
      <c r="B13" s="13" t="s">
        <v>9</v>
      </c>
      <c r="C13" s="13">
        <v>50</v>
      </c>
      <c r="D13" s="13">
        <v>45</v>
      </c>
      <c r="H13" s="13" t="s">
        <v>35</v>
      </c>
      <c r="I13" s="15">
        <f>K10/18</f>
        <v>15.847163742690059</v>
      </c>
      <c r="J13" s="13" t="s">
        <v>36</v>
      </c>
      <c r="K13" s="15">
        <f>K11/18</f>
        <v>3.5816666666666666</v>
      </c>
    </row>
    <row r="14" spans="8:11" ht="15.75">
      <c r="H14" s="13" t="s">
        <v>37</v>
      </c>
      <c r="I14" s="15">
        <f>I10/6</f>
        <v>4.125175438596491</v>
      </c>
      <c r="J14" s="13" t="s">
        <v>38</v>
      </c>
      <c r="K14" s="15">
        <f>I11/6</f>
        <v>0.9216666666666667</v>
      </c>
    </row>
    <row r="16" spans="2:5" ht="15.75">
      <c r="B16" s="13" t="s">
        <v>39</v>
      </c>
      <c r="C16" s="13">
        <v>75.6</v>
      </c>
      <c r="D16" s="13" t="s">
        <v>40</v>
      </c>
      <c r="E16" s="14">
        <v>0.0007545</v>
      </c>
    </row>
    <row r="17" spans="2:5" ht="15.75">
      <c r="B17" s="13" t="s">
        <v>41</v>
      </c>
      <c r="C17" s="13">
        <v>82.4</v>
      </c>
      <c r="D17" s="13" t="s">
        <v>42</v>
      </c>
      <c r="E17" s="14">
        <v>0.002236</v>
      </c>
    </row>
    <row r="20" spans="2:10" ht="15.75">
      <c r="B20" s="13" t="s">
        <v>43</v>
      </c>
      <c r="C20" s="13">
        <f>I13*E16*36307805+K13*E17*173780080</f>
        <v>1825857.2962407395</v>
      </c>
      <c r="D20" s="13" t="s">
        <v>10</v>
      </c>
      <c r="F20" s="13" t="s">
        <v>44</v>
      </c>
      <c r="G20" s="21">
        <v>1.13</v>
      </c>
      <c r="H20" s="22" t="s">
        <v>11</v>
      </c>
      <c r="I20" s="14" t="s">
        <v>12</v>
      </c>
      <c r="J20" s="13" t="s">
        <v>13</v>
      </c>
    </row>
    <row r="21" spans="2:10" ht="15.75">
      <c r="B21" s="13" t="s">
        <v>43</v>
      </c>
      <c r="C21" s="13">
        <f>I14*E16*30602954+K14*E17*138038430</f>
        <v>379726.0454732256</v>
      </c>
      <c r="D21" s="13" t="s">
        <v>14</v>
      </c>
      <c r="F21" s="13" t="s">
        <v>45</v>
      </c>
      <c r="G21" s="14">
        <v>1</v>
      </c>
      <c r="H21" s="13" t="s">
        <v>51</v>
      </c>
      <c r="I21" s="14" t="s">
        <v>16</v>
      </c>
      <c r="J21" s="13" t="s">
        <v>17</v>
      </c>
    </row>
    <row r="22" ht="12.75">
      <c r="L22" s="13"/>
    </row>
    <row r="23" spans="2:3" ht="15.75">
      <c r="B23" s="13" t="s">
        <v>18</v>
      </c>
      <c r="C23" s="13" t="s">
        <v>46</v>
      </c>
    </row>
    <row r="24" spans="2:7" ht="12.75">
      <c r="B24" s="13" t="s">
        <v>18</v>
      </c>
      <c r="C24" s="13">
        <f>C20*G20*G21</f>
        <v>2063218.7447520355</v>
      </c>
      <c r="D24" s="13" t="s">
        <v>10</v>
      </c>
      <c r="F24" s="13" t="s">
        <v>19</v>
      </c>
      <c r="G24" s="16">
        <f>10*LOG10(C24)-10.1</f>
        <v>53.045452747994204</v>
      </c>
    </row>
    <row r="25" spans="2:7" ht="12.75">
      <c r="B25" s="13" t="s">
        <v>18</v>
      </c>
      <c r="C25" s="13">
        <f>C21*G21*G20</f>
        <v>429090.4313847449</v>
      </c>
      <c r="D25" s="13" t="s">
        <v>14</v>
      </c>
      <c r="F25" s="13" t="s">
        <v>19</v>
      </c>
      <c r="G25" s="16">
        <f>10*LOG10(C25)-10.1</f>
        <v>46.22548829976301</v>
      </c>
    </row>
    <row r="26" ht="12.75">
      <c r="G26" s="16"/>
    </row>
    <row r="27" ht="12.75">
      <c r="B27" s="14" t="s">
        <v>20</v>
      </c>
    </row>
    <row r="28" spans="2:7" ht="12.75">
      <c r="B28" s="13" t="s">
        <v>21</v>
      </c>
      <c r="C28" s="13" t="s">
        <v>22</v>
      </c>
      <c r="D28" s="13" t="s">
        <v>23</v>
      </c>
      <c r="E28" s="14">
        <v>1.5</v>
      </c>
      <c r="F28" s="13" t="s">
        <v>24</v>
      </c>
      <c r="G28" s="14">
        <v>15</v>
      </c>
    </row>
    <row r="29" spans="2:3" ht="12.75">
      <c r="B29" s="13" t="s">
        <v>21</v>
      </c>
      <c r="C29" s="13">
        <v>2.4</v>
      </c>
    </row>
    <row r="31" spans="2:4" ht="14.25">
      <c r="B31" s="2" t="s">
        <v>47</v>
      </c>
      <c r="C31" s="17">
        <f>G24-2.4</f>
        <v>50.645452747994206</v>
      </c>
      <c r="D31" s="2" t="s">
        <v>10</v>
      </c>
    </row>
    <row r="32" spans="2:4" ht="14.25">
      <c r="B32" s="2" t="s">
        <v>47</v>
      </c>
      <c r="C32" s="17">
        <f>G25-2.4</f>
        <v>43.82548829976301</v>
      </c>
      <c r="D32" s="2" t="s">
        <v>14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G20" sqref="G20:H20"/>
    </sheetView>
  </sheetViews>
  <sheetFormatPr defaultColWidth="9.00390625" defaultRowHeight="12.75"/>
  <cols>
    <col min="1" max="1" width="8.75390625" style="0" customWidth="1"/>
    <col min="2" max="4" width="8.75390625" style="13" customWidth="1"/>
    <col min="5" max="5" width="8.75390625" style="14" customWidth="1"/>
    <col min="6" max="6" width="8.875" style="13" customWidth="1"/>
    <col min="7" max="7" width="6.75390625" style="14" customWidth="1"/>
    <col min="8" max="8" width="6.75390625" style="13" customWidth="1"/>
    <col min="9" max="9" width="7.25390625" style="15" customWidth="1"/>
    <col min="10" max="10" width="6.75390625" style="13" customWidth="1"/>
    <col min="11" max="11" width="6.75390625" style="15" customWidth="1"/>
  </cols>
  <sheetData>
    <row r="1" spans="1:11" s="1" customFormat="1" ht="12.75">
      <c r="A1" s="1" t="s">
        <v>56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0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0"/>
      <c r="D6" s="10"/>
      <c r="E6" s="11"/>
      <c r="F6" s="10"/>
      <c r="G6" s="11"/>
      <c r="H6" s="10"/>
      <c r="I6" s="12"/>
      <c r="J6" s="10"/>
      <c r="K6" s="12"/>
    </row>
    <row r="8" spans="2:4" ht="12.75">
      <c r="B8" s="13" t="s">
        <v>4</v>
      </c>
      <c r="C8" s="13">
        <v>2005</v>
      </c>
      <c r="D8" s="13" t="s">
        <v>50</v>
      </c>
    </row>
    <row r="9" spans="2:6" ht="15.75">
      <c r="B9" s="13" t="s">
        <v>5</v>
      </c>
      <c r="C9" s="13">
        <v>80</v>
      </c>
      <c r="E9" s="13" t="s">
        <v>28</v>
      </c>
      <c r="F9" s="13">
        <f>(C9/C12*100)</f>
        <v>15.09433962264151</v>
      </c>
    </row>
    <row r="10" spans="2:11" ht="15.75">
      <c r="B10" s="13" t="s">
        <v>6</v>
      </c>
      <c r="C10" s="13">
        <v>440</v>
      </c>
      <c r="E10" s="13" t="s">
        <v>29</v>
      </c>
      <c r="F10" s="13">
        <f>(6.4+(-2.1+0.2*F9))/100</f>
        <v>0.07318867924528302</v>
      </c>
      <c r="H10" s="13" t="s">
        <v>30</v>
      </c>
      <c r="I10" s="15">
        <f>(C10+C11)*F10</f>
        <v>32.93490566037736</v>
      </c>
      <c r="J10" s="13" t="s">
        <v>31</v>
      </c>
      <c r="K10" s="15">
        <f>(C10+C11)-I10</f>
        <v>417.06509433962265</v>
      </c>
    </row>
    <row r="11" spans="2:11" ht="15.75">
      <c r="B11" s="13" t="s">
        <v>7</v>
      </c>
      <c r="C11" s="13">
        <v>10</v>
      </c>
      <c r="E11" s="13" t="s">
        <v>32</v>
      </c>
      <c r="F11" s="13">
        <f>(7.9)/100</f>
        <v>0.079</v>
      </c>
      <c r="H11" s="13" t="s">
        <v>33</v>
      </c>
      <c r="I11" s="15">
        <f>(C9)*F11</f>
        <v>6.32</v>
      </c>
      <c r="J11" s="13" t="s">
        <v>34</v>
      </c>
      <c r="K11" s="15">
        <f>C9-I11</f>
        <v>73.68</v>
      </c>
    </row>
    <row r="12" spans="2:3" ht="12.75">
      <c r="B12" s="13" t="s">
        <v>8</v>
      </c>
      <c r="C12" s="13">
        <f>SUM(C9:C11)</f>
        <v>530</v>
      </c>
    </row>
    <row r="13" spans="2:11" ht="15.75">
      <c r="B13" s="13" t="s">
        <v>9</v>
      </c>
      <c r="C13" s="13">
        <v>50</v>
      </c>
      <c r="D13" s="13">
        <v>45</v>
      </c>
      <c r="H13" s="13" t="s">
        <v>35</v>
      </c>
      <c r="I13" s="15">
        <f>K10/18</f>
        <v>23.170283018867924</v>
      </c>
      <c r="J13" s="13" t="s">
        <v>36</v>
      </c>
      <c r="K13" s="15">
        <f>K11/18</f>
        <v>4.093333333333334</v>
      </c>
    </row>
    <row r="14" spans="8:11" ht="15.75">
      <c r="H14" s="13" t="s">
        <v>37</v>
      </c>
      <c r="I14" s="15">
        <f>I10/6</f>
        <v>5.4891509433962264</v>
      </c>
      <c r="J14" s="13" t="s">
        <v>38</v>
      </c>
      <c r="K14" s="15">
        <f>I11/6</f>
        <v>1.0533333333333335</v>
      </c>
    </row>
    <row r="16" spans="2:5" ht="15.75">
      <c r="B16" s="13" t="s">
        <v>39</v>
      </c>
      <c r="C16" s="13">
        <v>75.6</v>
      </c>
      <c r="D16" s="13" t="s">
        <v>40</v>
      </c>
      <c r="E16" s="14">
        <v>0.0007545</v>
      </c>
    </row>
    <row r="17" spans="2:5" ht="15.75">
      <c r="B17" s="13" t="s">
        <v>41</v>
      </c>
      <c r="C17" s="13">
        <v>82.4</v>
      </c>
      <c r="D17" s="13" t="s">
        <v>42</v>
      </c>
      <c r="E17" s="14">
        <v>0.002236</v>
      </c>
    </row>
    <row r="20" spans="2:10" ht="15.75">
      <c r="B20" s="13" t="s">
        <v>43</v>
      </c>
      <c r="C20" s="13">
        <f>I13*E16*36307805+K13*E17*173780080</f>
        <v>2225288.047444432</v>
      </c>
      <c r="D20" s="13" t="s">
        <v>10</v>
      </c>
      <c r="F20" s="13" t="s">
        <v>44</v>
      </c>
      <c r="G20" s="19">
        <v>1.13</v>
      </c>
      <c r="H20" s="20" t="s">
        <v>11</v>
      </c>
      <c r="I20" s="14" t="s">
        <v>12</v>
      </c>
      <c r="J20" s="13" t="s">
        <v>13</v>
      </c>
    </row>
    <row r="21" spans="2:10" ht="15.75">
      <c r="B21" s="13" t="s">
        <v>43</v>
      </c>
      <c r="C21" s="13">
        <f>I14*E16*30602954+K14*E17*138038430</f>
        <v>451859.57680264773</v>
      </c>
      <c r="D21" s="13" t="s">
        <v>14</v>
      </c>
      <c r="F21" s="13" t="s">
        <v>45</v>
      </c>
      <c r="G21" s="14">
        <v>1</v>
      </c>
      <c r="H21" s="13" t="s">
        <v>51</v>
      </c>
      <c r="I21" s="14" t="s">
        <v>16</v>
      </c>
      <c r="J21" s="13" t="s">
        <v>17</v>
      </c>
    </row>
    <row r="22" ht="12.75">
      <c r="L22" s="13"/>
    </row>
    <row r="23" spans="2:3" ht="15.75">
      <c r="B23" s="13" t="s">
        <v>18</v>
      </c>
      <c r="C23" s="13" t="s">
        <v>46</v>
      </c>
    </row>
    <row r="24" spans="2:7" ht="12.75">
      <c r="B24" s="13" t="s">
        <v>18</v>
      </c>
      <c r="C24" s="13">
        <f>C20*G20*G21</f>
        <v>2514575.493612208</v>
      </c>
      <c r="D24" s="13" t="s">
        <v>10</v>
      </c>
      <c r="F24" s="13" t="s">
        <v>19</v>
      </c>
      <c r="G24" s="16">
        <f>10*LOG10(C24)-10.1</f>
        <v>53.904646787189385</v>
      </c>
    </row>
    <row r="25" spans="2:7" ht="12.75">
      <c r="B25" s="13" t="s">
        <v>18</v>
      </c>
      <c r="C25" s="13">
        <f>C21*G21*G20</f>
        <v>510601.3217869919</v>
      </c>
      <c r="D25" s="13" t="s">
        <v>14</v>
      </c>
      <c r="F25" s="13" t="s">
        <v>19</v>
      </c>
      <c r="G25" s="16">
        <f>10*LOG10(C25)-10.1</f>
        <v>46.980819347221555</v>
      </c>
    </row>
    <row r="26" ht="12.75">
      <c r="G26" s="16"/>
    </row>
    <row r="27" ht="12.75">
      <c r="B27" s="14" t="s">
        <v>20</v>
      </c>
    </row>
    <row r="28" spans="2:7" ht="12.75">
      <c r="B28" s="13" t="s">
        <v>21</v>
      </c>
      <c r="C28" s="13" t="s">
        <v>22</v>
      </c>
      <c r="D28" s="13" t="s">
        <v>23</v>
      </c>
      <c r="E28" s="14">
        <v>1.5</v>
      </c>
      <c r="F28" s="13" t="s">
        <v>24</v>
      </c>
      <c r="G28" s="14">
        <v>15</v>
      </c>
    </row>
    <row r="29" spans="2:3" ht="12.75">
      <c r="B29" s="13" t="s">
        <v>21</v>
      </c>
      <c r="C29" s="13">
        <v>2.4</v>
      </c>
    </row>
    <row r="31" spans="2:4" ht="14.25">
      <c r="B31" s="2" t="s">
        <v>47</v>
      </c>
      <c r="C31" s="17">
        <f>G24-2.4</f>
        <v>51.50464678718939</v>
      </c>
      <c r="D31" s="2" t="s">
        <v>10</v>
      </c>
    </row>
    <row r="32" spans="2:4" ht="14.25">
      <c r="B32" s="2" t="s">
        <v>47</v>
      </c>
      <c r="C32" s="17">
        <f>G25-2.4</f>
        <v>44.580819347221556</v>
      </c>
      <c r="D32" s="2" t="s">
        <v>14</v>
      </c>
    </row>
  </sheetData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F33" sqref="F33"/>
    </sheetView>
  </sheetViews>
  <sheetFormatPr defaultColWidth="9.00390625" defaultRowHeight="12.75"/>
  <cols>
    <col min="1" max="1" width="8.75390625" style="0" customWidth="1"/>
    <col min="2" max="4" width="8.75390625" style="13" customWidth="1"/>
    <col min="5" max="5" width="8.75390625" style="14" customWidth="1"/>
    <col min="6" max="6" width="8.875" style="13" customWidth="1"/>
    <col min="7" max="7" width="6.75390625" style="14" customWidth="1"/>
    <col min="8" max="8" width="6.75390625" style="13" customWidth="1"/>
    <col min="9" max="9" width="7.25390625" style="15" customWidth="1"/>
    <col min="10" max="10" width="6.75390625" style="13" customWidth="1"/>
    <col min="11" max="11" width="6.75390625" style="15" customWidth="1"/>
  </cols>
  <sheetData>
    <row r="1" spans="1:11" s="1" customFormat="1" ht="12.75">
      <c r="A1" s="1" t="s">
        <v>57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25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0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0"/>
      <c r="D6" s="10"/>
      <c r="E6" s="11"/>
      <c r="F6" s="10"/>
      <c r="G6" s="11"/>
      <c r="H6" s="10"/>
      <c r="I6" s="12"/>
      <c r="J6" s="10"/>
      <c r="K6" s="12"/>
    </row>
    <row r="8" spans="2:4" ht="12.75">
      <c r="B8" s="13" t="s">
        <v>4</v>
      </c>
      <c r="C8" s="13">
        <v>2005</v>
      </c>
      <c r="D8" s="13" t="s">
        <v>50</v>
      </c>
    </row>
    <row r="9" spans="2:6" ht="15.75">
      <c r="B9" s="13" t="s">
        <v>5</v>
      </c>
      <c r="C9" s="13">
        <v>70</v>
      </c>
      <c r="E9" s="13" t="s">
        <v>28</v>
      </c>
      <c r="F9" s="13">
        <f>(C9/C12*100)</f>
        <v>18.421052631578945</v>
      </c>
    </row>
    <row r="10" spans="2:11" ht="15.75">
      <c r="B10" s="13" t="s">
        <v>6</v>
      </c>
      <c r="C10" s="13">
        <v>300</v>
      </c>
      <c r="E10" s="13" t="s">
        <v>29</v>
      </c>
      <c r="F10" s="13">
        <f>(6.4+(-2.1+0.2*F9))/100</f>
        <v>0.0798421052631579</v>
      </c>
      <c r="H10" s="13" t="s">
        <v>30</v>
      </c>
      <c r="I10" s="15">
        <f>(C10+C11)*F10</f>
        <v>24.751052631578947</v>
      </c>
      <c r="J10" s="13" t="s">
        <v>31</v>
      </c>
      <c r="K10" s="15">
        <f>(C10+C11)-I10</f>
        <v>285.24894736842106</v>
      </c>
    </row>
    <row r="11" spans="2:11" ht="15.75">
      <c r="B11" s="13" t="s">
        <v>7</v>
      </c>
      <c r="C11" s="13">
        <v>10</v>
      </c>
      <c r="E11" s="13" t="s">
        <v>32</v>
      </c>
      <c r="F11" s="13">
        <f>(7.9)/100</f>
        <v>0.079</v>
      </c>
      <c r="H11" s="13" t="s">
        <v>33</v>
      </c>
      <c r="I11" s="15">
        <f>(C9)*F11</f>
        <v>5.53</v>
      </c>
      <c r="J11" s="13" t="s">
        <v>34</v>
      </c>
      <c r="K11" s="15">
        <f>C9-I11</f>
        <v>64.47</v>
      </c>
    </row>
    <row r="12" spans="2:3" ht="12.75">
      <c r="B12" s="13" t="s">
        <v>8</v>
      </c>
      <c r="C12" s="13">
        <f>SUM(C9:C11)</f>
        <v>380</v>
      </c>
    </row>
    <row r="13" spans="2:11" ht="15.75">
      <c r="B13" s="13" t="s">
        <v>9</v>
      </c>
      <c r="C13" s="13">
        <v>90</v>
      </c>
      <c r="D13" s="13">
        <v>75</v>
      </c>
      <c r="H13" s="13" t="s">
        <v>35</v>
      </c>
      <c r="I13" s="15">
        <f>K10/18</f>
        <v>15.847163742690059</v>
      </c>
      <c r="J13" s="13" t="s">
        <v>36</v>
      </c>
      <c r="K13" s="15">
        <f>K11/18</f>
        <v>3.5816666666666666</v>
      </c>
    </row>
    <row r="14" spans="8:11" ht="15.75">
      <c r="H14" s="13" t="s">
        <v>37</v>
      </c>
      <c r="I14" s="15">
        <f>I10/6</f>
        <v>4.125175438596491</v>
      </c>
      <c r="J14" s="13" t="s">
        <v>38</v>
      </c>
      <c r="K14" s="15">
        <f>I11/6</f>
        <v>0.9216666666666667</v>
      </c>
    </row>
    <row r="16" spans="2:5" ht="15.75">
      <c r="B16" s="13" t="s">
        <v>39</v>
      </c>
      <c r="C16" s="13">
        <v>75.6</v>
      </c>
      <c r="D16" s="13" t="s">
        <v>40</v>
      </c>
      <c r="E16" s="14">
        <v>0.001519</v>
      </c>
    </row>
    <row r="17" spans="2:5" ht="15.75">
      <c r="B17" s="13" t="s">
        <v>41</v>
      </c>
      <c r="C17" s="13">
        <v>82.4</v>
      </c>
      <c r="D17" s="13" t="s">
        <v>42</v>
      </c>
      <c r="E17" s="14">
        <v>0.002122</v>
      </c>
    </row>
    <row r="20" spans="2:10" ht="15.75">
      <c r="B20" s="13" t="s">
        <v>43</v>
      </c>
      <c r="C20" s="13">
        <f>I13*E16*36307805+K13*E17*173780080</f>
        <v>2194775.8981045387</v>
      </c>
      <c r="D20" s="13" t="s">
        <v>10</v>
      </c>
      <c r="F20" s="13" t="s">
        <v>44</v>
      </c>
      <c r="G20" s="14">
        <v>1.13</v>
      </c>
      <c r="H20" s="13" t="s">
        <v>11</v>
      </c>
      <c r="I20" s="14" t="s">
        <v>12</v>
      </c>
      <c r="J20" s="13" t="s">
        <v>13</v>
      </c>
    </row>
    <row r="21" spans="2:10" ht="15.75">
      <c r="B21" s="13" t="s">
        <v>43</v>
      </c>
      <c r="C21" s="13">
        <f>I14*E16*30602954+K14*E17*138038430</f>
        <v>461734.7803108441</v>
      </c>
      <c r="D21" s="13" t="s">
        <v>14</v>
      </c>
      <c r="F21" s="13" t="s">
        <v>45</v>
      </c>
      <c r="G21" s="14">
        <v>1.1</v>
      </c>
      <c r="H21" s="13" t="s">
        <v>51</v>
      </c>
      <c r="I21" s="14" t="s">
        <v>16</v>
      </c>
      <c r="J21" s="13" t="s">
        <v>17</v>
      </c>
    </row>
    <row r="22" ht="12.75">
      <c r="L22" s="13"/>
    </row>
    <row r="23" spans="2:3" ht="15.75">
      <c r="B23" s="13" t="s">
        <v>18</v>
      </c>
      <c r="C23" s="13" t="s">
        <v>46</v>
      </c>
    </row>
    <row r="24" spans="2:7" ht="12.75">
      <c r="B24" s="13" t="s">
        <v>18</v>
      </c>
      <c r="C24" s="13">
        <f>C20*G20*G21</f>
        <v>2728106.4413439417</v>
      </c>
      <c r="D24" s="13" t="s">
        <v>10</v>
      </c>
      <c r="F24" s="13" t="s">
        <v>19</v>
      </c>
      <c r="G24" s="16">
        <f>10*LOG10(C24)-10.1</f>
        <v>54.25861310994156</v>
      </c>
    </row>
    <row r="25" spans="2:7" ht="12.75">
      <c r="B25" s="13" t="s">
        <v>18</v>
      </c>
      <c r="C25" s="13">
        <f>C21*G21*G20</f>
        <v>573936.3319263792</v>
      </c>
      <c r="D25" s="13" t="s">
        <v>14</v>
      </c>
      <c r="F25" s="13" t="s">
        <v>19</v>
      </c>
      <c r="G25" s="16">
        <f>10*LOG10(C25)-10.1</f>
        <v>47.488637177870544</v>
      </c>
    </row>
    <row r="26" ht="12.75">
      <c r="G26" s="16"/>
    </row>
    <row r="27" spans="2:3" ht="12.75">
      <c r="B27" s="14" t="s">
        <v>26</v>
      </c>
      <c r="C27" s="14"/>
    </row>
    <row r="28" spans="2:6" ht="12.75">
      <c r="B28" s="13" t="s">
        <v>21</v>
      </c>
      <c r="C28" s="14" t="s">
        <v>27</v>
      </c>
      <c r="D28" s="13" t="s">
        <v>23</v>
      </c>
      <c r="E28" s="14">
        <v>1.5</v>
      </c>
      <c r="F28" s="13" t="s">
        <v>24</v>
      </c>
    </row>
    <row r="29" spans="2:3" ht="14.25">
      <c r="B29" s="2" t="s">
        <v>52</v>
      </c>
      <c r="C29" s="14">
        <f>8.78*LOG10((F31*F31+20.25)/76.5)</f>
        <v>-0.37966175212241404</v>
      </c>
    </row>
    <row r="30" spans="2:3" ht="14.25">
      <c r="B30" s="2" t="s">
        <v>53</v>
      </c>
      <c r="C30" s="14">
        <f>8.78*LOG10((F32*F32+20.25)/76.5)</f>
        <v>2.9135898202266026</v>
      </c>
    </row>
    <row r="31" spans="2:7" ht="14.25">
      <c r="B31" s="2" t="s">
        <v>48</v>
      </c>
      <c r="C31" s="18">
        <f>G24-C29</f>
        <v>54.63827486206397</v>
      </c>
      <c r="D31" s="2" t="s">
        <v>10</v>
      </c>
      <c r="F31" s="13">
        <v>7</v>
      </c>
      <c r="G31" s="14" t="s">
        <v>54</v>
      </c>
    </row>
    <row r="32" spans="2:7" ht="14.25">
      <c r="B32" s="2" t="s">
        <v>49</v>
      </c>
      <c r="C32" s="18">
        <f>G25-C30</f>
        <v>44.57504735764394</v>
      </c>
      <c r="D32" s="2" t="s">
        <v>14</v>
      </c>
      <c r="F32" s="2">
        <v>12</v>
      </c>
      <c r="G32" s="14" t="s">
        <v>54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&amp;C45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C8" sqref="C8:C12"/>
    </sheetView>
  </sheetViews>
  <sheetFormatPr defaultColWidth="9.00390625" defaultRowHeight="12.75"/>
  <cols>
    <col min="1" max="1" width="8.75390625" style="0" customWidth="1"/>
    <col min="2" max="4" width="8.75390625" style="13" customWidth="1"/>
    <col min="5" max="5" width="8.75390625" style="14" customWidth="1"/>
    <col min="6" max="6" width="8.875" style="13" customWidth="1"/>
    <col min="7" max="7" width="6.75390625" style="14" customWidth="1"/>
    <col min="8" max="8" width="6.75390625" style="13" customWidth="1"/>
    <col min="9" max="9" width="7.25390625" style="15" customWidth="1"/>
    <col min="10" max="10" width="6.75390625" style="13" customWidth="1"/>
    <col min="11" max="11" width="6.75390625" style="15" customWidth="1"/>
  </cols>
  <sheetData>
    <row r="1" spans="1:11" s="1" customFormat="1" ht="12.75">
      <c r="A1" s="1" t="s">
        <v>58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25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0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0"/>
      <c r="D6" s="10"/>
      <c r="E6" s="11"/>
      <c r="F6" s="10"/>
      <c r="G6" s="11"/>
      <c r="H6" s="10"/>
      <c r="I6" s="12"/>
      <c r="J6" s="10"/>
      <c r="K6" s="12"/>
    </row>
    <row r="8" spans="2:4" ht="12.75">
      <c r="B8" s="13" t="s">
        <v>4</v>
      </c>
      <c r="C8" s="13">
        <v>2005</v>
      </c>
      <c r="D8" s="13" t="s">
        <v>50</v>
      </c>
    </row>
    <row r="9" spans="2:6" ht="15.75">
      <c r="B9" s="13" t="s">
        <v>5</v>
      </c>
      <c r="C9" s="13">
        <v>80</v>
      </c>
      <c r="E9" s="13" t="s">
        <v>28</v>
      </c>
      <c r="F9" s="13">
        <f>(C9/C12*100)</f>
        <v>15.09433962264151</v>
      </c>
    </row>
    <row r="10" spans="2:11" ht="15.75">
      <c r="B10" s="13" t="s">
        <v>6</v>
      </c>
      <c r="C10" s="13">
        <v>440</v>
      </c>
      <c r="E10" s="13" t="s">
        <v>29</v>
      </c>
      <c r="F10" s="13">
        <f>(6.4+(-2.1+0.2*F9))/100</f>
        <v>0.07318867924528302</v>
      </c>
      <c r="H10" s="13" t="s">
        <v>30</v>
      </c>
      <c r="I10" s="15">
        <f>(C10+C11)*F10</f>
        <v>32.93490566037736</v>
      </c>
      <c r="J10" s="13" t="s">
        <v>31</v>
      </c>
      <c r="K10" s="15">
        <f>(C10+C11)-I10</f>
        <v>417.06509433962265</v>
      </c>
    </row>
    <row r="11" spans="2:11" ht="15.75">
      <c r="B11" s="13" t="s">
        <v>7</v>
      </c>
      <c r="C11" s="13">
        <v>10</v>
      </c>
      <c r="E11" s="13" t="s">
        <v>32</v>
      </c>
      <c r="F11" s="13">
        <f>(7.9)/100</f>
        <v>0.079</v>
      </c>
      <c r="H11" s="13" t="s">
        <v>33</v>
      </c>
      <c r="I11" s="15">
        <f>(C9)*F11</f>
        <v>6.32</v>
      </c>
      <c r="J11" s="13" t="s">
        <v>34</v>
      </c>
      <c r="K11" s="15">
        <f>C9-I11</f>
        <v>73.68</v>
      </c>
    </row>
    <row r="12" spans="2:3" ht="12.75">
      <c r="B12" s="13" t="s">
        <v>8</v>
      </c>
      <c r="C12" s="13">
        <f>SUM(C9:C11)</f>
        <v>530</v>
      </c>
    </row>
    <row r="13" spans="2:11" ht="15.75">
      <c r="B13" s="13" t="s">
        <v>9</v>
      </c>
      <c r="C13" s="13">
        <v>90</v>
      </c>
      <c r="D13" s="13">
        <v>75</v>
      </c>
      <c r="H13" s="13" t="s">
        <v>35</v>
      </c>
      <c r="I13" s="15">
        <f>K10/18</f>
        <v>23.170283018867924</v>
      </c>
      <c r="J13" s="13" t="s">
        <v>36</v>
      </c>
      <c r="K13" s="15">
        <f>K11/18</f>
        <v>4.093333333333334</v>
      </c>
    </row>
    <row r="14" spans="8:11" ht="15.75">
      <c r="H14" s="13" t="s">
        <v>37</v>
      </c>
      <c r="I14" s="15">
        <f>I10/6</f>
        <v>5.4891509433962264</v>
      </c>
      <c r="J14" s="13" t="s">
        <v>38</v>
      </c>
      <c r="K14" s="15">
        <f>I11/6</f>
        <v>1.0533333333333335</v>
      </c>
    </row>
    <row r="16" spans="2:5" ht="15.75">
      <c r="B16" s="13" t="s">
        <v>39</v>
      </c>
      <c r="C16" s="13">
        <v>75.6</v>
      </c>
      <c r="D16" s="13" t="s">
        <v>40</v>
      </c>
      <c r="E16" s="14">
        <v>0.001519</v>
      </c>
    </row>
    <row r="17" spans="2:5" ht="15.75">
      <c r="B17" s="13" t="s">
        <v>41</v>
      </c>
      <c r="C17" s="13">
        <v>82.4</v>
      </c>
      <c r="D17" s="13" t="s">
        <v>42</v>
      </c>
      <c r="E17" s="14">
        <v>0.002122</v>
      </c>
    </row>
    <row r="20" spans="2:10" ht="15.75">
      <c r="B20" s="13" t="s">
        <v>43</v>
      </c>
      <c r="C20" s="13">
        <f>I13*E16*36307805+K13*E17*173780080</f>
        <v>2787340.1998519693</v>
      </c>
      <c r="D20" s="13" t="s">
        <v>10</v>
      </c>
      <c r="F20" s="13" t="s">
        <v>44</v>
      </c>
      <c r="G20" s="14">
        <v>1.13</v>
      </c>
      <c r="H20" s="13" t="s">
        <v>11</v>
      </c>
      <c r="I20" s="14" t="s">
        <v>12</v>
      </c>
      <c r="J20" s="13" t="s">
        <v>13</v>
      </c>
    </row>
    <row r="21" spans="2:10" ht="15.75">
      <c r="B21" s="13" t="s">
        <v>43</v>
      </c>
      <c r="C21" s="13">
        <f>I14*E16*30602954+K14*E17*138038430</f>
        <v>563707.8688834935</v>
      </c>
      <c r="D21" s="13" t="s">
        <v>14</v>
      </c>
      <c r="F21" s="13" t="s">
        <v>45</v>
      </c>
      <c r="G21" s="14">
        <v>1.1</v>
      </c>
      <c r="H21" s="13" t="s">
        <v>51</v>
      </c>
      <c r="I21" s="14" t="s">
        <v>16</v>
      </c>
      <c r="J21" s="13" t="s">
        <v>17</v>
      </c>
    </row>
    <row r="22" ht="12.75">
      <c r="L22" s="13"/>
    </row>
    <row r="23" spans="2:3" ht="15.75">
      <c r="B23" s="13" t="s">
        <v>18</v>
      </c>
      <c r="C23" s="13" t="s">
        <v>46</v>
      </c>
    </row>
    <row r="24" spans="2:7" ht="12.75">
      <c r="B24" s="13" t="s">
        <v>18</v>
      </c>
      <c r="C24" s="13">
        <f>C20*G20*G21</f>
        <v>3464663.868415998</v>
      </c>
      <c r="D24" s="13" t="s">
        <v>10</v>
      </c>
      <c r="F24" s="13" t="s">
        <v>19</v>
      </c>
      <c r="G24" s="16">
        <f>10*LOG10(C24)-10.1</f>
        <v>55.29661107007515</v>
      </c>
    </row>
    <row r="25" spans="2:7" ht="12.75">
      <c r="B25" s="13" t="s">
        <v>18</v>
      </c>
      <c r="C25" s="13">
        <f>C21*G21*G20</f>
        <v>700688.8810221824</v>
      </c>
      <c r="D25" s="13" t="s">
        <v>14</v>
      </c>
      <c r="F25" s="13" t="s">
        <v>19</v>
      </c>
      <c r="G25" s="16">
        <f>10*LOG10(C25)-10.1</f>
        <v>48.35525225886576</v>
      </c>
    </row>
    <row r="26" ht="12.75">
      <c r="G26" s="16"/>
    </row>
    <row r="27" spans="2:3" ht="12.75">
      <c r="B27" s="14" t="s">
        <v>26</v>
      </c>
      <c r="C27" s="14"/>
    </row>
    <row r="28" spans="2:6" ht="12.75">
      <c r="B28" s="13" t="s">
        <v>21</v>
      </c>
      <c r="C28" s="14" t="s">
        <v>27</v>
      </c>
      <c r="D28" s="13" t="s">
        <v>23</v>
      </c>
      <c r="E28" s="14">
        <v>1.5</v>
      </c>
      <c r="F28" s="13" t="s">
        <v>24</v>
      </c>
    </row>
    <row r="29" spans="2:3" ht="14.25">
      <c r="B29" s="2" t="s">
        <v>52</v>
      </c>
      <c r="C29" s="14">
        <f>8.78*LOG10((F31*F31+20.25)/76.5)</f>
        <v>1.0688209793165173</v>
      </c>
    </row>
    <row r="30" spans="2:3" ht="14.25">
      <c r="B30" s="2" t="s">
        <v>53</v>
      </c>
      <c r="C30" s="14">
        <f>8.78*LOG10((F32*F32+20.25)/76.5)</f>
        <v>3.9623672990327963</v>
      </c>
    </row>
    <row r="31" spans="2:7" ht="14.25">
      <c r="B31" s="2" t="s">
        <v>48</v>
      </c>
      <c r="C31" s="18">
        <f>G24-C29</f>
        <v>54.22779009075863</v>
      </c>
      <c r="D31" s="2" t="s">
        <v>10</v>
      </c>
      <c r="F31" s="13">
        <v>9</v>
      </c>
      <c r="G31" s="14" t="s">
        <v>54</v>
      </c>
    </row>
    <row r="32" spans="2:7" ht="14.25">
      <c r="B32" s="2" t="s">
        <v>49</v>
      </c>
      <c r="C32" s="18">
        <f>G25-C30</f>
        <v>44.39288495983296</v>
      </c>
      <c r="D32" s="2" t="s">
        <v>14</v>
      </c>
      <c r="F32" s="2">
        <v>14</v>
      </c>
      <c r="G32" s="14" t="s">
        <v>54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&amp;C46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C9" sqref="C9"/>
    </sheetView>
  </sheetViews>
  <sheetFormatPr defaultColWidth="9.00390625" defaultRowHeight="12.75"/>
  <cols>
    <col min="1" max="1" width="8.75390625" style="0" customWidth="1"/>
    <col min="2" max="4" width="8.75390625" style="13" customWidth="1"/>
    <col min="5" max="5" width="8.75390625" style="14" customWidth="1"/>
    <col min="6" max="6" width="8.875" style="13" customWidth="1"/>
    <col min="7" max="7" width="6.75390625" style="14" customWidth="1"/>
    <col min="8" max="8" width="6.75390625" style="13" customWidth="1"/>
    <col min="9" max="9" width="7.25390625" style="15" customWidth="1"/>
    <col min="10" max="10" width="6.75390625" style="13" customWidth="1"/>
    <col min="11" max="11" width="6.75390625" style="15" customWidth="1"/>
  </cols>
  <sheetData>
    <row r="1" spans="1:11" s="1" customFormat="1" ht="12.75">
      <c r="A1" s="1" t="s">
        <v>60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25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0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0"/>
      <c r="D6" s="10"/>
      <c r="E6" s="11"/>
      <c r="F6" s="10"/>
      <c r="G6" s="11"/>
      <c r="H6" s="10"/>
      <c r="I6" s="12"/>
      <c r="J6" s="10"/>
      <c r="K6" s="12"/>
    </row>
    <row r="8" spans="2:4" ht="12.75">
      <c r="B8" s="13" t="s">
        <v>4</v>
      </c>
      <c r="C8" s="13">
        <v>2025</v>
      </c>
      <c r="D8" s="13" t="s">
        <v>50</v>
      </c>
    </row>
    <row r="9" spans="2:6" ht="15.75">
      <c r="B9" s="13" t="s">
        <v>5</v>
      </c>
      <c r="C9" s="13">
        <v>120</v>
      </c>
      <c r="E9" s="13" t="s">
        <v>28</v>
      </c>
      <c r="F9" s="13">
        <f>(C9/C12*100)</f>
        <v>21.238938053097346</v>
      </c>
    </row>
    <row r="10" spans="2:11" ht="15.75">
      <c r="B10" s="13" t="s">
        <v>6</v>
      </c>
      <c r="C10" s="13">
        <v>430</v>
      </c>
      <c r="E10" s="13" t="s">
        <v>29</v>
      </c>
      <c r="F10" s="13">
        <f>(6.4+(-2.1+0.2*F9))/100</f>
        <v>0.08547787610619469</v>
      </c>
      <c r="H10" s="13" t="s">
        <v>30</v>
      </c>
      <c r="I10" s="15">
        <f>(C10+C11)*F10</f>
        <v>38.037654867256634</v>
      </c>
      <c r="J10" s="13" t="s">
        <v>31</v>
      </c>
      <c r="K10" s="15">
        <f>(C10+C11)-I10</f>
        <v>406.9623451327434</v>
      </c>
    </row>
    <row r="11" spans="2:11" ht="15.75">
      <c r="B11" s="13" t="s">
        <v>7</v>
      </c>
      <c r="C11" s="13">
        <v>15</v>
      </c>
      <c r="E11" s="13" t="s">
        <v>32</v>
      </c>
      <c r="F11" s="13">
        <f>(7.9)/100</f>
        <v>0.079</v>
      </c>
      <c r="H11" s="13" t="s">
        <v>33</v>
      </c>
      <c r="I11" s="15">
        <f>(C9)*F11</f>
        <v>9.48</v>
      </c>
      <c r="J11" s="13" t="s">
        <v>34</v>
      </c>
      <c r="K11" s="15">
        <f>C9-I11</f>
        <v>110.52</v>
      </c>
    </row>
    <row r="12" spans="2:3" ht="12.75">
      <c r="B12" s="13" t="s">
        <v>8</v>
      </c>
      <c r="C12" s="13">
        <f>SUM(C9:C11)</f>
        <v>565</v>
      </c>
    </row>
    <row r="13" spans="2:11" ht="15.75">
      <c r="B13" s="13" t="s">
        <v>9</v>
      </c>
      <c r="C13" s="13">
        <v>90</v>
      </c>
      <c r="D13" s="13">
        <v>75</v>
      </c>
      <c r="H13" s="13" t="s">
        <v>35</v>
      </c>
      <c r="I13" s="15">
        <f>K10/18</f>
        <v>22.6090191740413</v>
      </c>
      <c r="J13" s="13" t="s">
        <v>36</v>
      </c>
      <c r="K13" s="15">
        <f>K11/18</f>
        <v>6.14</v>
      </c>
    </row>
    <row r="14" spans="8:11" ht="15.75">
      <c r="H14" s="13" t="s">
        <v>37</v>
      </c>
      <c r="I14" s="15">
        <f>I10/6</f>
        <v>6.339609144542773</v>
      </c>
      <c r="J14" s="13" t="s">
        <v>38</v>
      </c>
      <c r="K14" s="15">
        <f>I11/6</f>
        <v>1.58</v>
      </c>
    </row>
    <row r="16" spans="2:5" ht="15.75">
      <c r="B16" s="13" t="s">
        <v>39</v>
      </c>
      <c r="C16" s="13">
        <v>74.1</v>
      </c>
      <c r="D16" s="13" t="s">
        <v>40</v>
      </c>
      <c r="E16" s="14">
        <v>0.001519</v>
      </c>
    </row>
    <row r="17" spans="2:5" ht="15.75">
      <c r="B17" s="13" t="s">
        <v>41</v>
      </c>
      <c r="C17" s="13">
        <v>80.2</v>
      </c>
      <c r="D17" s="13" t="s">
        <v>42</v>
      </c>
      <c r="E17" s="14">
        <v>0.002122</v>
      </c>
    </row>
    <row r="20" spans="2:10" ht="15.75">
      <c r="B20" s="13" t="s">
        <v>43</v>
      </c>
      <c r="C20" s="13">
        <f>I13*E16*25703958+K13*E17*104712850</f>
        <v>2247065.7028902727</v>
      </c>
      <c r="D20" s="13" t="s">
        <v>10</v>
      </c>
      <c r="F20" s="13" t="s">
        <v>44</v>
      </c>
      <c r="G20" s="14">
        <v>1.13</v>
      </c>
      <c r="H20" s="13" t="s">
        <v>11</v>
      </c>
      <c r="I20" s="14" t="s">
        <v>12</v>
      </c>
      <c r="J20" s="13" t="s">
        <v>13</v>
      </c>
    </row>
    <row r="21" spans="2:10" ht="15.75">
      <c r="B21" s="13" t="s">
        <v>43</v>
      </c>
      <c r="C21" s="13">
        <f>I14*E16*25703958+K14*E17*104712850</f>
        <v>598602.7336441822</v>
      </c>
      <c r="D21" s="13" t="s">
        <v>14</v>
      </c>
      <c r="F21" s="13" t="s">
        <v>45</v>
      </c>
      <c r="G21" s="14">
        <v>1.1</v>
      </c>
      <c r="H21" s="13" t="s">
        <v>51</v>
      </c>
      <c r="I21" s="14" t="s">
        <v>16</v>
      </c>
      <c r="J21" s="13" t="s">
        <v>17</v>
      </c>
    </row>
    <row r="22" ht="12.75">
      <c r="L22" s="13"/>
    </row>
    <row r="23" spans="2:3" ht="15.75">
      <c r="B23" s="13" t="s">
        <v>18</v>
      </c>
      <c r="C23" s="13" t="s">
        <v>46</v>
      </c>
    </row>
    <row r="24" spans="2:7" ht="12.75">
      <c r="B24" s="13" t="s">
        <v>18</v>
      </c>
      <c r="C24" s="13">
        <f>C20*G20*G21</f>
        <v>2793102.668692609</v>
      </c>
      <c r="D24" s="13" t="s">
        <v>10</v>
      </c>
      <c r="F24" s="13" t="s">
        <v>19</v>
      </c>
      <c r="G24" s="16">
        <f>10*LOG10(C24)-10.1</f>
        <v>54.360868997637205</v>
      </c>
    </row>
    <row r="25" spans="2:7" ht="12.75">
      <c r="B25" s="13" t="s">
        <v>18</v>
      </c>
      <c r="C25" s="13">
        <f>C21*G21*G20</f>
        <v>744063.1979197185</v>
      </c>
      <c r="D25" s="13" t="s">
        <v>14</v>
      </c>
      <c r="F25" s="13" t="s">
        <v>19</v>
      </c>
      <c r="G25" s="16">
        <f>10*LOG10(C25)-10.1</f>
        <v>48.61609824446641</v>
      </c>
    </row>
    <row r="26" ht="12.75">
      <c r="G26" s="16"/>
    </row>
    <row r="27" spans="2:3" ht="12.75">
      <c r="B27" s="14" t="s">
        <v>26</v>
      </c>
      <c r="C27" s="14"/>
    </row>
    <row r="28" spans="2:6" ht="12.75">
      <c r="B28" s="13" t="s">
        <v>21</v>
      </c>
      <c r="C28" s="14" t="s">
        <v>27</v>
      </c>
      <c r="D28" s="13" t="s">
        <v>23</v>
      </c>
      <c r="E28" s="14">
        <v>1.5</v>
      </c>
      <c r="F28" s="13" t="s">
        <v>24</v>
      </c>
    </row>
    <row r="29" spans="2:3" ht="14.25">
      <c r="B29" s="2" t="s">
        <v>52</v>
      </c>
      <c r="C29" s="14">
        <f>8.78*LOG10((F31*F31+20.25)/76.5)</f>
        <v>-0.37966175212241404</v>
      </c>
    </row>
    <row r="30" spans="2:3" ht="14.25">
      <c r="B30" s="2" t="s">
        <v>53</v>
      </c>
      <c r="C30" s="14">
        <f>8.78*LOG10((F32*F32+20.25)/76.5)</f>
        <v>3.9623672990327963</v>
      </c>
    </row>
    <row r="31" spans="2:7" ht="14.25">
      <c r="B31" s="2" t="s">
        <v>48</v>
      </c>
      <c r="C31" s="18">
        <f>G24-C29</f>
        <v>54.74053074975962</v>
      </c>
      <c r="D31" s="2" t="s">
        <v>10</v>
      </c>
      <c r="F31" s="13">
        <v>7</v>
      </c>
      <c r="G31" s="14" t="s">
        <v>54</v>
      </c>
    </row>
    <row r="32" spans="2:7" ht="14.25">
      <c r="B32" s="2" t="s">
        <v>49</v>
      </c>
      <c r="C32" s="18">
        <f>G25-C30</f>
        <v>44.65373094543361</v>
      </c>
      <c r="D32" s="2" t="s">
        <v>14</v>
      </c>
      <c r="F32" s="2">
        <v>14</v>
      </c>
      <c r="G32" s="14" t="s">
        <v>54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&amp;C47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8.75390625" style="0" customWidth="1"/>
    <col min="2" max="4" width="8.75390625" style="13" customWidth="1"/>
    <col min="5" max="5" width="8.75390625" style="14" customWidth="1"/>
    <col min="6" max="6" width="8.875" style="13" customWidth="1"/>
    <col min="7" max="7" width="6.75390625" style="14" customWidth="1"/>
    <col min="8" max="8" width="6.75390625" style="13" customWidth="1"/>
    <col min="9" max="9" width="7.25390625" style="15" customWidth="1"/>
    <col min="10" max="10" width="6.75390625" style="13" customWidth="1"/>
    <col min="11" max="11" width="6.75390625" style="15" customWidth="1"/>
  </cols>
  <sheetData>
    <row r="1" spans="1:11" s="1" customFormat="1" ht="12.75">
      <c r="A1" s="1" t="s">
        <v>59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25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9" t="s">
        <v>2</v>
      </c>
      <c r="B5" s="10"/>
      <c r="C5" s="10"/>
      <c r="D5" s="10"/>
      <c r="E5" s="11"/>
      <c r="F5" s="10"/>
      <c r="G5" s="11"/>
      <c r="H5" s="10"/>
      <c r="I5" s="12"/>
      <c r="J5" s="10"/>
      <c r="K5" s="12"/>
    </row>
    <row r="6" spans="1:11" s="5" customFormat="1" ht="12.75">
      <c r="A6" s="9" t="s">
        <v>3</v>
      </c>
      <c r="B6" s="10"/>
      <c r="C6" s="10"/>
      <c r="D6" s="10"/>
      <c r="E6" s="11"/>
      <c r="F6" s="10"/>
      <c r="G6" s="11"/>
      <c r="H6" s="10"/>
      <c r="I6" s="12"/>
      <c r="J6" s="10"/>
      <c r="K6" s="12"/>
    </row>
    <row r="8" spans="2:4" ht="12.75">
      <c r="B8" s="13" t="s">
        <v>4</v>
      </c>
      <c r="C8" s="13">
        <v>2025</v>
      </c>
      <c r="D8" s="13" t="s">
        <v>50</v>
      </c>
    </row>
    <row r="9" spans="2:6" ht="15.75">
      <c r="B9" s="13" t="s">
        <v>5</v>
      </c>
      <c r="C9" s="13">
        <v>170</v>
      </c>
      <c r="E9" s="13" t="s">
        <v>28</v>
      </c>
      <c r="F9" s="13">
        <f>(C9/C12*100)</f>
        <v>25.37313432835821</v>
      </c>
    </row>
    <row r="10" spans="2:11" ht="15.75">
      <c r="B10" s="13" t="s">
        <v>6</v>
      </c>
      <c r="C10" s="13">
        <v>480</v>
      </c>
      <c r="E10" s="13" t="s">
        <v>29</v>
      </c>
      <c r="F10" s="13">
        <f>(6.4+(-2.1+0.2*F9))/100</f>
        <v>0.09374626865671642</v>
      </c>
      <c r="H10" s="13" t="s">
        <v>30</v>
      </c>
      <c r="I10" s="15">
        <f>(C10+C11)*F10</f>
        <v>46.87313432835821</v>
      </c>
      <c r="J10" s="13" t="s">
        <v>31</v>
      </c>
      <c r="K10" s="15">
        <f>(C10+C11)-I10</f>
        <v>453.1268656716418</v>
      </c>
    </row>
    <row r="11" spans="2:11" ht="15.75">
      <c r="B11" s="13" t="s">
        <v>7</v>
      </c>
      <c r="C11" s="13">
        <v>20</v>
      </c>
      <c r="E11" s="13" t="s">
        <v>32</v>
      </c>
      <c r="F11" s="13">
        <f>(7.9)/100</f>
        <v>0.079</v>
      </c>
      <c r="H11" s="13" t="s">
        <v>33</v>
      </c>
      <c r="I11" s="15">
        <f>(C9)*F11</f>
        <v>13.43</v>
      </c>
      <c r="J11" s="13" t="s">
        <v>34</v>
      </c>
      <c r="K11" s="15">
        <f>C9-I11</f>
        <v>156.57</v>
      </c>
    </row>
    <row r="12" spans="2:3" ht="12.75">
      <c r="B12" s="13" t="s">
        <v>8</v>
      </c>
      <c r="C12" s="13">
        <f>SUM(C9:C11)</f>
        <v>670</v>
      </c>
    </row>
    <row r="13" spans="2:11" ht="15.75">
      <c r="B13" s="13" t="s">
        <v>9</v>
      </c>
      <c r="C13" s="13">
        <v>90</v>
      </c>
      <c r="D13" s="13">
        <v>75</v>
      </c>
      <c r="H13" s="13" t="s">
        <v>35</v>
      </c>
      <c r="I13" s="15">
        <f>K10/18</f>
        <v>25.173714759535656</v>
      </c>
      <c r="J13" s="13" t="s">
        <v>36</v>
      </c>
      <c r="K13" s="15">
        <f>K11/18</f>
        <v>8.698333333333332</v>
      </c>
    </row>
    <row r="14" spans="8:11" ht="15.75">
      <c r="H14" s="13" t="s">
        <v>37</v>
      </c>
      <c r="I14" s="15">
        <f>I10/6</f>
        <v>7.812189054726368</v>
      </c>
      <c r="J14" s="13" t="s">
        <v>38</v>
      </c>
      <c r="K14" s="15">
        <f>I11/6</f>
        <v>2.2383333333333333</v>
      </c>
    </row>
    <row r="16" spans="2:5" ht="15.75">
      <c r="B16" s="13" t="s">
        <v>39</v>
      </c>
      <c r="C16" s="13">
        <v>74.1</v>
      </c>
      <c r="D16" s="13" t="s">
        <v>40</v>
      </c>
      <c r="E16" s="14">
        <v>0.001519</v>
      </c>
    </row>
    <row r="17" spans="2:5" ht="15.75">
      <c r="B17" s="13" t="s">
        <v>41</v>
      </c>
      <c r="C17" s="13">
        <v>80.2</v>
      </c>
      <c r="D17" s="13" t="s">
        <v>42</v>
      </c>
      <c r="E17" s="14">
        <v>0.002122</v>
      </c>
    </row>
    <row r="20" spans="2:10" ht="15.75">
      <c r="B20" s="13" t="s">
        <v>43</v>
      </c>
      <c r="C20" s="13">
        <f>I13*E16*25703958+K13*E17*104712850</f>
        <v>2915665.852899239</v>
      </c>
      <c r="D20" s="13" t="s">
        <v>10</v>
      </c>
      <c r="F20" s="13" t="s">
        <v>44</v>
      </c>
      <c r="G20" s="14">
        <v>1.13</v>
      </c>
      <c r="H20" s="13" t="s">
        <v>11</v>
      </c>
      <c r="I20" s="14" t="s">
        <v>12</v>
      </c>
      <c r="J20" s="13" t="s">
        <v>13</v>
      </c>
    </row>
    <row r="21" spans="2:10" ht="15.75">
      <c r="B21" s="13" t="s">
        <v>43</v>
      </c>
      <c r="C21" s="13">
        <f>I14*E16*25703958+K14*E17*104712850</f>
        <v>802380.709635617</v>
      </c>
      <c r="D21" s="13" t="s">
        <v>14</v>
      </c>
      <c r="F21" s="13" t="s">
        <v>45</v>
      </c>
      <c r="G21" s="14">
        <v>1.1</v>
      </c>
      <c r="H21" s="13" t="s">
        <v>15</v>
      </c>
      <c r="I21" s="14" t="s">
        <v>16</v>
      </c>
      <c r="J21" s="13" t="s">
        <v>17</v>
      </c>
    </row>
    <row r="22" ht="12.75">
      <c r="L22" s="13"/>
    </row>
    <row r="23" spans="2:3" ht="15.75">
      <c r="B23" s="13" t="s">
        <v>18</v>
      </c>
      <c r="C23" s="13" t="s">
        <v>46</v>
      </c>
    </row>
    <row r="24" spans="2:7" ht="12.75">
      <c r="B24" s="13" t="s">
        <v>18</v>
      </c>
      <c r="C24" s="13">
        <f>C20*G20*G21</f>
        <v>3624172.655153754</v>
      </c>
      <c r="D24" s="13" t="s">
        <v>10</v>
      </c>
      <c r="F24" s="13" t="s">
        <v>19</v>
      </c>
      <c r="G24" s="16">
        <f>10*LOG10(C24)-10.1</f>
        <v>55.49208879235025</v>
      </c>
    </row>
    <row r="25" spans="2:7" ht="12.75">
      <c r="B25" s="13" t="s">
        <v>18</v>
      </c>
      <c r="C25" s="13">
        <f>C21*G21*G20</f>
        <v>997359.2220770719</v>
      </c>
      <c r="D25" s="13" t="s">
        <v>14</v>
      </c>
      <c r="F25" s="13" t="s">
        <v>19</v>
      </c>
      <c r="G25" s="16">
        <f>10*LOG10(C25)-10.1</f>
        <v>49.888516077273984</v>
      </c>
    </row>
    <row r="26" ht="12.75">
      <c r="G26" s="16"/>
    </row>
    <row r="27" spans="2:3" ht="12.75">
      <c r="B27" s="14" t="s">
        <v>26</v>
      </c>
      <c r="C27" s="14"/>
    </row>
    <row r="28" spans="2:6" ht="12.75">
      <c r="B28" s="13" t="s">
        <v>21</v>
      </c>
      <c r="C28" s="14" t="s">
        <v>27</v>
      </c>
      <c r="D28" s="13" t="s">
        <v>23</v>
      </c>
      <c r="E28" s="14">
        <v>1.5</v>
      </c>
      <c r="F28" s="13" t="s">
        <v>24</v>
      </c>
    </row>
    <row r="29" spans="2:3" ht="14.25">
      <c r="B29" s="2" t="s">
        <v>52</v>
      </c>
      <c r="C29" s="14">
        <f>8.78*LOG10((F31*F31+20.25)/76.5)</f>
        <v>1.0688209793165173</v>
      </c>
    </row>
    <row r="30" spans="2:3" ht="14.25">
      <c r="B30" s="2" t="s">
        <v>53</v>
      </c>
      <c r="C30" s="14">
        <f>8.78*LOG10((F32*F32+20.25)/76.5)</f>
        <v>4.896086676517244</v>
      </c>
    </row>
    <row r="31" spans="2:7" ht="14.25">
      <c r="B31" s="2" t="s">
        <v>48</v>
      </c>
      <c r="C31" s="18">
        <f>G24-C29</f>
        <v>54.42326781303373</v>
      </c>
      <c r="D31" s="2" t="s">
        <v>10</v>
      </c>
      <c r="F31" s="13">
        <v>9</v>
      </c>
      <c r="G31" s="14" t="s">
        <v>54</v>
      </c>
    </row>
    <row r="32" spans="2:7" ht="14.25">
      <c r="B32" s="2" t="s">
        <v>49</v>
      </c>
      <c r="C32" s="18">
        <f>G25-C30</f>
        <v>44.99242940075674</v>
      </c>
      <c r="D32" s="2" t="s">
        <v>14</v>
      </c>
      <c r="F32" s="2">
        <v>16</v>
      </c>
      <c r="G32" s="14" t="s">
        <v>54</v>
      </c>
    </row>
  </sheetData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</dc:creator>
  <cp:keywords/>
  <dc:description/>
  <cp:lastModifiedBy>Ladislav Brožek</cp:lastModifiedBy>
  <cp:lastPrinted>2011-01-06T16:56:39Z</cp:lastPrinted>
  <dcterms:created xsi:type="dcterms:W3CDTF">2008-11-16T12:16:15Z</dcterms:created>
  <dcterms:modified xsi:type="dcterms:W3CDTF">2011-01-06T17:07:03Z</dcterms:modified>
  <cp:category/>
  <cp:version/>
  <cp:contentType/>
  <cp:contentStatus/>
</cp:coreProperties>
</file>